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2 Información www asotacgua com\12 DICIEMBRE\Numeral 8\"/>
    </mc:Choice>
  </mc:AlternateContent>
  <xr:revisionPtr revIDLastSave="0" documentId="8_{C5BC18A2-A069-456F-B4EB-02802B2D2066}" xr6:coauthVersionLast="47" xr6:coauthVersionMax="47" xr10:uidLastSave="{00000000-0000-0000-0000-000000000000}"/>
  <bookViews>
    <workbookView xWindow="-120" yWindow="-120" windowWidth="20730" windowHeight="11310" tabRatio="810" firstSheet="6" activeTab="11" xr2:uid="{00000000-000D-0000-FFFF-FFFF00000000}"/>
  </bookViews>
  <sheets>
    <sheet name="ENERO 2022" sheetId="37" r:id="rId1"/>
    <sheet name="FEBRERO 2022" sheetId="49" r:id="rId2"/>
    <sheet name="MARZO 2022" sheetId="50" r:id="rId3"/>
    <sheet name="ABRIL 2022 " sheetId="51" r:id="rId4"/>
    <sheet name="MAYO 2022 " sheetId="52" r:id="rId5"/>
    <sheet name="JUNIO 2022" sheetId="53" r:id="rId6"/>
    <sheet name="JULIO 2022 " sheetId="54" r:id="rId7"/>
    <sheet name="AGOSTO 2022 " sheetId="55" r:id="rId8"/>
    <sheet name="SEPTIEMBRE 2022" sheetId="56" r:id="rId9"/>
    <sheet name="OCTUBRE 2022 " sheetId="57" r:id="rId10"/>
    <sheet name="NOVIEMBRE 2022" sheetId="59" r:id="rId11"/>
    <sheet name="DICIEMBRE 2022" sheetId="60" r:id="rId12"/>
  </sheets>
  <definedNames>
    <definedName name="_xlnm.Print_Area" localSheetId="3">'ABRIL 2022 '!$A$1:$O$181</definedName>
    <definedName name="_xlnm.Print_Area" localSheetId="7">'AGOSTO 2022 '!$A$1:$O$183</definedName>
    <definedName name="_xlnm.Print_Area" localSheetId="0">'ENERO 2022'!$A$1:$O$180</definedName>
    <definedName name="_xlnm.Print_Area" localSheetId="1">'FEBRERO 2022'!$A$1:$O$180</definedName>
    <definedName name="_xlnm.Print_Area" localSheetId="6">'JULIO 2022 '!$A$1:$O$183</definedName>
    <definedName name="_xlnm.Print_Area" localSheetId="5">'JUNIO 2022'!$A$1:$O$183</definedName>
    <definedName name="_xlnm.Print_Area" localSheetId="2">'MARZO 2022'!$A$1:$O$180</definedName>
    <definedName name="_xlnm.Print_Area" localSheetId="4">'MAYO 2022 '!$A$1:$O$183</definedName>
    <definedName name="_xlnm.Print_Area" localSheetId="10">'NOVIEMBRE 2022'!$A$1:$O$183</definedName>
    <definedName name="_xlnm.Print_Area" localSheetId="9">'OCTUBRE 2022 '!$A$1:$O$183</definedName>
    <definedName name="_xlnm.Print_Area" localSheetId="8">'SEPTIEMBRE 2022'!$A$1:$O$183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9" i="60" l="1"/>
  <c r="C165" i="60" s="1"/>
  <c r="C158" i="60"/>
  <c r="C146" i="60"/>
  <c r="K138" i="60"/>
  <c r="J138" i="60"/>
  <c r="I138" i="60"/>
  <c r="H138" i="60"/>
  <c r="G138" i="60"/>
  <c r="F138" i="60"/>
  <c r="E138" i="60"/>
  <c r="D138" i="60"/>
  <c r="C138" i="60"/>
  <c r="M137" i="60"/>
  <c r="L137" i="60"/>
  <c r="M136" i="60"/>
  <c r="L136" i="60"/>
  <c r="L135" i="60"/>
  <c r="N135" i="60" s="1"/>
  <c r="L134" i="60"/>
  <c r="N134" i="60" s="1"/>
  <c r="N130" i="60"/>
  <c r="L130" i="60"/>
  <c r="N129" i="60"/>
  <c r="L129" i="60"/>
  <c r="L128" i="60"/>
  <c r="N128" i="60" s="1"/>
  <c r="L127" i="60"/>
  <c r="N127" i="60" s="1"/>
  <c r="N126" i="60"/>
  <c r="L126" i="60"/>
  <c r="N125" i="60"/>
  <c r="L125" i="60"/>
  <c r="M124" i="60"/>
  <c r="L124" i="60"/>
  <c r="M119" i="60"/>
  <c r="L119" i="60"/>
  <c r="M118" i="60"/>
  <c r="L118" i="60"/>
  <c r="M117" i="60"/>
  <c r="L117" i="60"/>
  <c r="L116" i="60"/>
  <c r="N116" i="60" s="1"/>
  <c r="M115" i="60"/>
  <c r="L115" i="60"/>
  <c r="N115" i="60" s="1"/>
  <c r="M114" i="60"/>
  <c r="L114" i="60"/>
  <c r="N114" i="60" s="1"/>
  <c r="M113" i="60"/>
  <c r="L113" i="60"/>
  <c r="N113" i="60" s="1"/>
  <c r="L112" i="60"/>
  <c r="N112" i="60" s="1"/>
  <c r="M111" i="60"/>
  <c r="L111" i="60"/>
  <c r="N111" i="60" s="1"/>
  <c r="M110" i="60"/>
  <c r="L110" i="60"/>
  <c r="N110" i="60" s="1"/>
  <c r="M109" i="60"/>
  <c r="L109" i="60"/>
  <c r="N109" i="60" s="1"/>
  <c r="M108" i="60"/>
  <c r="L108" i="60"/>
  <c r="N108" i="60" s="1"/>
  <c r="N107" i="60"/>
  <c r="L107" i="60"/>
  <c r="N106" i="60"/>
  <c r="M106" i="60"/>
  <c r="L106" i="60"/>
  <c r="N105" i="60"/>
  <c r="L105" i="60"/>
  <c r="M104" i="60"/>
  <c r="L104" i="60"/>
  <c r="L103" i="60"/>
  <c r="N103" i="60" s="1"/>
  <c r="L102" i="60"/>
  <c r="N102" i="60" s="1"/>
  <c r="N101" i="60"/>
  <c r="M101" i="60"/>
  <c r="L101" i="60"/>
  <c r="N100" i="60"/>
  <c r="M100" i="60"/>
  <c r="L100" i="60"/>
  <c r="N99" i="60"/>
  <c r="M99" i="60"/>
  <c r="L99" i="60"/>
  <c r="N98" i="60"/>
  <c r="M98" i="60"/>
  <c r="L98" i="60"/>
  <c r="N97" i="60"/>
  <c r="M97" i="60"/>
  <c r="L97" i="60"/>
  <c r="N96" i="60"/>
  <c r="M96" i="60"/>
  <c r="L96" i="60"/>
  <c r="N95" i="60"/>
  <c r="M95" i="60"/>
  <c r="L95" i="60"/>
  <c r="N94" i="60"/>
  <c r="M94" i="60"/>
  <c r="L94" i="60"/>
  <c r="N93" i="60"/>
  <c r="L93" i="60"/>
  <c r="N92" i="60"/>
  <c r="L92" i="60"/>
  <c r="M91" i="60"/>
  <c r="L91" i="60"/>
  <c r="N91" i="60" s="1"/>
  <c r="M90" i="60"/>
  <c r="L90" i="60"/>
  <c r="M89" i="60"/>
  <c r="L89" i="60"/>
  <c r="N89" i="60" s="1"/>
  <c r="M88" i="60"/>
  <c r="L88" i="60"/>
  <c r="M87" i="60"/>
  <c r="L87" i="60"/>
  <c r="N87" i="60" s="1"/>
  <c r="L86" i="60"/>
  <c r="N86" i="60" s="1"/>
  <c r="L85" i="60"/>
  <c r="N85" i="60" s="1"/>
  <c r="N84" i="60"/>
  <c r="L84" i="60"/>
  <c r="M83" i="60"/>
  <c r="N83" i="60" s="1"/>
  <c r="L83" i="60"/>
  <c r="N79" i="60"/>
  <c r="M79" i="60"/>
  <c r="L79" i="60"/>
  <c r="N78" i="60"/>
  <c r="L78" i="60"/>
  <c r="L77" i="60"/>
  <c r="N77" i="60" s="1"/>
  <c r="M76" i="60"/>
  <c r="L76" i="60"/>
  <c r="N76" i="60" s="1"/>
  <c r="M75" i="60"/>
  <c r="L75" i="60"/>
  <c r="N75" i="60" s="1"/>
  <c r="L74" i="60"/>
  <c r="N74" i="60" s="1"/>
  <c r="N73" i="60"/>
  <c r="L73" i="60"/>
  <c r="L72" i="60"/>
  <c r="N72" i="60" s="1"/>
  <c r="M71" i="60"/>
  <c r="L71" i="60"/>
  <c r="M70" i="60"/>
  <c r="L70" i="60"/>
  <c r="N70" i="60" s="1"/>
  <c r="L69" i="60"/>
  <c r="N69" i="60" s="1"/>
  <c r="M68" i="60"/>
  <c r="L68" i="60"/>
  <c r="N68" i="60" s="1"/>
  <c r="M67" i="60"/>
  <c r="L67" i="60"/>
  <c r="N67" i="60" s="1"/>
  <c r="L66" i="60"/>
  <c r="N66" i="60" s="1"/>
  <c r="N65" i="60"/>
  <c r="L65" i="60"/>
  <c r="N64" i="60"/>
  <c r="M64" i="60"/>
  <c r="L64" i="60"/>
  <c r="M63" i="60"/>
  <c r="L63" i="60"/>
  <c r="L62" i="60"/>
  <c r="N62" i="60" s="1"/>
  <c r="N61" i="60"/>
  <c r="L61" i="60"/>
  <c r="M60" i="60"/>
  <c r="L60" i="60"/>
  <c r="M59" i="60"/>
  <c r="L59" i="60"/>
  <c r="L58" i="60"/>
  <c r="N58" i="60" s="1"/>
  <c r="N57" i="60"/>
  <c r="L57" i="60"/>
  <c r="L56" i="60"/>
  <c r="N56" i="60" s="1"/>
  <c r="N55" i="60"/>
  <c r="M55" i="60"/>
  <c r="L55" i="60"/>
  <c r="N54" i="60"/>
  <c r="M54" i="60"/>
  <c r="L54" i="60"/>
  <c r="N53" i="60"/>
  <c r="M53" i="60"/>
  <c r="L53" i="60"/>
  <c r="N52" i="60"/>
  <c r="M52" i="60"/>
  <c r="L52" i="60"/>
  <c r="N51" i="60"/>
  <c r="M51" i="60"/>
  <c r="L51" i="60"/>
  <c r="N50" i="60"/>
  <c r="M50" i="60"/>
  <c r="L50" i="60"/>
  <c r="N49" i="60"/>
  <c r="M49" i="60"/>
  <c r="L49" i="60"/>
  <c r="N48" i="60"/>
  <c r="L48" i="60"/>
  <c r="L47" i="60"/>
  <c r="N47" i="60" s="1"/>
  <c r="M46" i="60"/>
  <c r="L46" i="60"/>
  <c r="M45" i="60"/>
  <c r="L45" i="60"/>
  <c r="M41" i="60"/>
  <c r="L41" i="60"/>
  <c r="L40" i="60"/>
  <c r="N40" i="60" s="1"/>
  <c r="N39" i="60"/>
  <c r="M39" i="60"/>
  <c r="L39" i="60"/>
  <c r="N38" i="60"/>
  <c r="M38" i="60"/>
  <c r="L38" i="60"/>
  <c r="N37" i="60"/>
  <c r="M37" i="60"/>
  <c r="L37" i="60"/>
  <c r="N36" i="60"/>
  <c r="M36" i="60"/>
  <c r="L36" i="60"/>
  <c r="L138" i="60" s="1"/>
  <c r="N35" i="60"/>
  <c r="L35" i="60"/>
  <c r="N34" i="60"/>
  <c r="M34" i="60"/>
  <c r="L34" i="60"/>
  <c r="N33" i="60"/>
  <c r="M33" i="60"/>
  <c r="L33" i="60"/>
  <c r="N32" i="60"/>
  <c r="M32" i="60"/>
  <c r="L32" i="60"/>
  <c r="N31" i="60"/>
  <c r="M31" i="60"/>
  <c r="L31" i="60"/>
  <c r="K26" i="60"/>
  <c r="J26" i="60"/>
  <c r="I26" i="60"/>
  <c r="H26" i="60"/>
  <c r="G26" i="60"/>
  <c r="F26" i="60"/>
  <c r="E26" i="60"/>
  <c r="D26" i="60"/>
  <c r="C26" i="60"/>
  <c r="N25" i="60"/>
  <c r="L25" i="60"/>
  <c r="N24" i="60"/>
  <c r="L24" i="60"/>
  <c r="M22" i="60"/>
  <c r="L22" i="60"/>
  <c r="L21" i="60"/>
  <c r="N21" i="60" s="1"/>
  <c r="M20" i="60"/>
  <c r="L20" i="60"/>
  <c r="N20" i="60" s="1"/>
  <c r="N19" i="60"/>
  <c r="L19" i="60"/>
  <c r="N18" i="60"/>
  <c r="M18" i="60"/>
  <c r="L18" i="60"/>
  <c r="N15" i="60"/>
  <c r="M15" i="60"/>
  <c r="L15" i="60"/>
  <c r="N13" i="60"/>
  <c r="L13" i="60"/>
  <c r="M12" i="60"/>
  <c r="L12" i="60"/>
  <c r="L26" i="60" s="1"/>
  <c r="L11" i="60"/>
  <c r="N10" i="60"/>
  <c r="M10" i="60"/>
  <c r="L10" i="60"/>
  <c r="C162" i="59"/>
  <c r="C160" i="59"/>
  <c r="C158" i="59"/>
  <c r="M136" i="59"/>
  <c r="N136" i="59" s="1"/>
  <c r="M119" i="59"/>
  <c r="N119" i="59" s="1"/>
  <c r="M117" i="59"/>
  <c r="M115" i="59"/>
  <c r="M114" i="59"/>
  <c r="M108" i="59"/>
  <c r="M106" i="59"/>
  <c r="M104" i="59"/>
  <c r="M99" i="59"/>
  <c r="M97" i="59"/>
  <c r="N97" i="59" s="1"/>
  <c r="M96" i="59"/>
  <c r="M95" i="59"/>
  <c r="M90" i="59"/>
  <c r="M89" i="59"/>
  <c r="M88" i="59"/>
  <c r="M87" i="59"/>
  <c r="M83" i="59"/>
  <c r="N83" i="59"/>
  <c r="M79" i="59"/>
  <c r="M75" i="59"/>
  <c r="M71" i="59"/>
  <c r="M68" i="59"/>
  <c r="M67" i="59"/>
  <c r="M55" i="59"/>
  <c r="M52" i="59"/>
  <c r="M51" i="59"/>
  <c r="M50" i="59"/>
  <c r="M49" i="59"/>
  <c r="N49" i="59" s="1"/>
  <c r="M46" i="59"/>
  <c r="N46" i="59" s="1"/>
  <c r="M45" i="59"/>
  <c r="N45" i="59" s="1"/>
  <c r="M38" i="59"/>
  <c r="M37" i="59"/>
  <c r="M34" i="59"/>
  <c r="M33" i="59"/>
  <c r="M32" i="59"/>
  <c r="M31" i="59"/>
  <c r="M20" i="59"/>
  <c r="M15" i="59"/>
  <c r="N15" i="59" s="1"/>
  <c r="M12" i="59"/>
  <c r="L12" i="59"/>
  <c r="L110" i="59"/>
  <c r="L91" i="59"/>
  <c r="L89" i="59"/>
  <c r="L78" i="59"/>
  <c r="L77" i="59"/>
  <c r="N77" i="59" s="1"/>
  <c r="L73" i="59"/>
  <c r="L63" i="59"/>
  <c r="L54" i="59"/>
  <c r="L53" i="59"/>
  <c r="L31" i="59"/>
  <c r="L18" i="59"/>
  <c r="L15" i="59"/>
  <c r="L41" i="59"/>
  <c r="L40" i="59"/>
  <c r="L39" i="59"/>
  <c r="L38" i="59"/>
  <c r="N38" i="59" s="1"/>
  <c r="L37" i="59"/>
  <c r="L36" i="59"/>
  <c r="L35" i="59"/>
  <c r="L34" i="59"/>
  <c r="L33" i="59"/>
  <c r="L32" i="59"/>
  <c r="L79" i="59"/>
  <c r="N79" i="59" s="1"/>
  <c r="L76" i="59"/>
  <c r="L75" i="59"/>
  <c r="L74" i="59"/>
  <c r="L72" i="59"/>
  <c r="L71" i="59"/>
  <c r="L70" i="59"/>
  <c r="L69" i="59"/>
  <c r="L68" i="59"/>
  <c r="N68" i="59" s="1"/>
  <c r="L67" i="59"/>
  <c r="L66" i="59"/>
  <c r="L65" i="59"/>
  <c r="L64" i="59"/>
  <c r="L62" i="59"/>
  <c r="L61" i="59"/>
  <c r="L60" i="59"/>
  <c r="N60" i="59" s="1"/>
  <c r="L59" i="59"/>
  <c r="L58" i="59"/>
  <c r="L57" i="59"/>
  <c r="L56" i="59"/>
  <c r="L55" i="59"/>
  <c r="N55" i="59" s="1"/>
  <c r="L52" i="59"/>
  <c r="L51" i="59"/>
  <c r="L50" i="59"/>
  <c r="L49" i="59"/>
  <c r="L48" i="59"/>
  <c r="N48" i="59" s="1"/>
  <c r="L47" i="59"/>
  <c r="L46" i="59"/>
  <c r="L45" i="59"/>
  <c r="L119" i="59"/>
  <c r="L118" i="59"/>
  <c r="L117" i="59"/>
  <c r="L116" i="59"/>
  <c r="L115" i="59"/>
  <c r="L114" i="59"/>
  <c r="L113" i="59"/>
  <c r="L112" i="59"/>
  <c r="N112" i="59" s="1"/>
  <c r="L111" i="59"/>
  <c r="L109" i="59"/>
  <c r="L108" i="59"/>
  <c r="L107" i="59"/>
  <c r="N107" i="59" s="1"/>
  <c r="L106" i="59"/>
  <c r="L105" i="59"/>
  <c r="L104" i="59"/>
  <c r="N104" i="59" s="1"/>
  <c r="L103" i="59"/>
  <c r="L102" i="59"/>
  <c r="L101" i="59"/>
  <c r="L100" i="59"/>
  <c r="L99" i="59"/>
  <c r="L98" i="59"/>
  <c r="L97" i="59"/>
  <c r="L96" i="59"/>
  <c r="L95" i="59"/>
  <c r="L94" i="59"/>
  <c r="L93" i="59"/>
  <c r="L92" i="59"/>
  <c r="N92" i="59" s="1"/>
  <c r="L90" i="59"/>
  <c r="L88" i="59"/>
  <c r="L87" i="59"/>
  <c r="N87" i="59" s="1"/>
  <c r="L86" i="59"/>
  <c r="L85" i="59"/>
  <c r="L84" i="59"/>
  <c r="N84" i="59" s="1"/>
  <c r="L83" i="59"/>
  <c r="L129" i="59"/>
  <c r="L128" i="59"/>
  <c r="L127" i="59"/>
  <c r="L126" i="59"/>
  <c r="N126" i="59" s="1"/>
  <c r="L125" i="59"/>
  <c r="L124" i="59"/>
  <c r="L137" i="59"/>
  <c r="L135" i="59"/>
  <c r="L134" i="59"/>
  <c r="L136" i="59"/>
  <c r="C146" i="59"/>
  <c r="K138" i="59"/>
  <c r="J138" i="59"/>
  <c r="I138" i="59"/>
  <c r="H138" i="59"/>
  <c r="G138" i="59"/>
  <c r="F138" i="59"/>
  <c r="E138" i="59"/>
  <c r="D138" i="59"/>
  <c r="C138" i="59"/>
  <c r="M137" i="59"/>
  <c r="N137" i="59"/>
  <c r="N135" i="59"/>
  <c r="N134" i="59"/>
  <c r="N130" i="59"/>
  <c r="L130" i="59"/>
  <c r="N129" i="59"/>
  <c r="N128" i="59"/>
  <c r="N127" i="59"/>
  <c r="N125" i="59"/>
  <c r="M124" i="59"/>
  <c r="N124" i="59"/>
  <c r="M118" i="59"/>
  <c r="N118" i="59"/>
  <c r="N117" i="59"/>
  <c r="N116" i="59"/>
  <c r="N115" i="59"/>
  <c r="N114" i="59"/>
  <c r="N113" i="59"/>
  <c r="M113" i="59"/>
  <c r="M111" i="59"/>
  <c r="M110" i="59"/>
  <c r="M109" i="59"/>
  <c r="N106" i="59"/>
  <c r="N105" i="59"/>
  <c r="N103" i="59"/>
  <c r="N102" i="59"/>
  <c r="M101" i="59"/>
  <c r="N101" i="59"/>
  <c r="M100" i="59"/>
  <c r="N100" i="59"/>
  <c r="N99" i="59"/>
  <c r="M98" i="59"/>
  <c r="N98" i="59"/>
  <c r="N96" i="59"/>
  <c r="N95" i="59"/>
  <c r="M94" i="59"/>
  <c r="N94" i="59"/>
  <c r="N93" i="59"/>
  <c r="M91" i="59"/>
  <c r="N86" i="59"/>
  <c r="N85" i="59"/>
  <c r="N78" i="59"/>
  <c r="M76" i="59"/>
  <c r="N76" i="59"/>
  <c r="N75" i="59"/>
  <c r="N74" i="59"/>
  <c r="N73" i="59"/>
  <c r="N72" i="59"/>
  <c r="M70" i="59"/>
  <c r="N69" i="59"/>
  <c r="N66" i="59"/>
  <c r="N65" i="59"/>
  <c r="N64" i="59"/>
  <c r="M64" i="59"/>
  <c r="M63" i="59"/>
  <c r="N62" i="59"/>
  <c r="N61" i="59"/>
  <c r="M60" i="59"/>
  <c r="N59" i="59"/>
  <c r="M59" i="59"/>
  <c r="N58" i="59"/>
  <c r="N57" i="59"/>
  <c r="N56" i="59"/>
  <c r="N54" i="59"/>
  <c r="M53" i="59"/>
  <c r="N50" i="59"/>
  <c r="N47" i="59"/>
  <c r="N41" i="59"/>
  <c r="N40" i="59"/>
  <c r="N39" i="59"/>
  <c r="M36" i="59"/>
  <c r="N36" i="59"/>
  <c r="N35" i="59"/>
  <c r="N33" i="59"/>
  <c r="N32" i="59"/>
  <c r="K26" i="59"/>
  <c r="J26" i="59"/>
  <c r="I26" i="59"/>
  <c r="H26" i="59"/>
  <c r="G26" i="59"/>
  <c r="F26" i="59"/>
  <c r="E26" i="59"/>
  <c r="D26" i="59"/>
  <c r="C26" i="59"/>
  <c r="L25" i="59"/>
  <c r="N25" i="59" s="1"/>
  <c r="N24" i="59"/>
  <c r="L24" i="59"/>
  <c r="N22" i="59"/>
  <c r="M22" i="59"/>
  <c r="L22" i="59"/>
  <c r="N21" i="59"/>
  <c r="L21" i="59"/>
  <c r="L20" i="59"/>
  <c r="N20" i="59" s="1"/>
  <c r="L19" i="59"/>
  <c r="N19" i="59" s="1"/>
  <c r="M18" i="59"/>
  <c r="N18" i="59"/>
  <c r="L13" i="59"/>
  <c r="N13" i="59" s="1"/>
  <c r="N12" i="59"/>
  <c r="L11" i="59"/>
  <c r="M10" i="59"/>
  <c r="L10" i="59"/>
  <c r="M26" i="60" l="1"/>
  <c r="O10" i="60" s="1"/>
  <c r="N12" i="60"/>
  <c r="N26" i="60" s="1"/>
  <c r="N46" i="60"/>
  <c r="N59" i="60"/>
  <c r="N60" i="60"/>
  <c r="N117" i="60"/>
  <c r="N119" i="60"/>
  <c r="N137" i="60"/>
  <c r="O12" i="60"/>
  <c r="N22" i="60"/>
  <c r="N45" i="60"/>
  <c r="N71" i="60"/>
  <c r="N88" i="60"/>
  <c r="N90" i="60"/>
  <c r="N104" i="60"/>
  <c r="M138" i="60"/>
  <c r="O32" i="60" s="1"/>
  <c r="N41" i="60"/>
  <c r="N138" i="60" s="1"/>
  <c r="N63" i="60"/>
  <c r="N118" i="60"/>
  <c r="N124" i="60"/>
  <c r="N136" i="60"/>
  <c r="C165" i="59"/>
  <c r="M138" i="59"/>
  <c r="O106" i="59" s="1"/>
  <c r="N34" i="59"/>
  <c r="M26" i="59"/>
  <c r="C150" i="59" s="1"/>
  <c r="N63" i="59"/>
  <c r="N67" i="59"/>
  <c r="N10" i="59"/>
  <c r="N26" i="59" s="1"/>
  <c r="L26" i="59"/>
  <c r="N91" i="59"/>
  <c r="O19" i="59"/>
  <c r="O21" i="59"/>
  <c r="N71" i="59"/>
  <c r="N109" i="59"/>
  <c r="N111" i="59"/>
  <c r="O10" i="59"/>
  <c r="O20" i="59"/>
  <c r="O24" i="59"/>
  <c r="N37" i="59"/>
  <c r="N88" i="59"/>
  <c r="N90" i="59"/>
  <c r="N89" i="59"/>
  <c r="O13" i="59"/>
  <c r="N51" i="59"/>
  <c r="N53" i="59"/>
  <c r="O18" i="59"/>
  <c r="N31" i="59"/>
  <c r="L138" i="59"/>
  <c r="N52" i="59"/>
  <c r="N70" i="59"/>
  <c r="N108" i="59"/>
  <c r="N110" i="59"/>
  <c r="C158" i="57"/>
  <c r="M137" i="57"/>
  <c r="M136" i="57"/>
  <c r="M124" i="57"/>
  <c r="M119" i="57"/>
  <c r="M117" i="57"/>
  <c r="M114" i="57"/>
  <c r="M113" i="57"/>
  <c r="M110" i="57"/>
  <c r="M108" i="57"/>
  <c r="N108" i="57" s="1"/>
  <c r="M101" i="57"/>
  <c r="M99" i="57"/>
  <c r="M98" i="57"/>
  <c r="M96" i="57"/>
  <c r="M95" i="57"/>
  <c r="M91" i="57"/>
  <c r="M90" i="57"/>
  <c r="M89" i="57"/>
  <c r="M87" i="57"/>
  <c r="M83" i="57"/>
  <c r="M79" i="57"/>
  <c r="M75" i="57"/>
  <c r="M68" i="57"/>
  <c r="M67" i="57"/>
  <c r="M64" i="57"/>
  <c r="M55" i="57"/>
  <c r="M52" i="57"/>
  <c r="M51" i="57"/>
  <c r="M50" i="57"/>
  <c r="M49" i="57"/>
  <c r="M46" i="57"/>
  <c r="M45" i="57"/>
  <c r="M38" i="57"/>
  <c r="M37" i="57"/>
  <c r="M36" i="57"/>
  <c r="M34" i="57"/>
  <c r="M33" i="57"/>
  <c r="M32" i="57"/>
  <c r="M31" i="57"/>
  <c r="M20" i="57"/>
  <c r="M22" i="57"/>
  <c r="M18" i="57"/>
  <c r="N18" i="57" s="1"/>
  <c r="M15" i="57"/>
  <c r="M12" i="57"/>
  <c r="C165" i="57"/>
  <c r="C146" i="57"/>
  <c r="K138" i="57"/>
  <c r="J138" i="57"/>
  <c r="I138" i="57"/>
  <c r="H138" i="57"/>
  <c r="G138" i="57"/>
  <c r="F138" i="57"/>
  <c r="E138" i="57"/>
  <c r="D138" i="57"/>
  <c r="C138" i="57"/>
  <c r="L137" i="57"/>
  <c r="N137" i="57" s="1"/>
  <c r="L136" i="57"/>
  <c r="L135" i="57"/>
  <c r="N135" i="57" s="1"/>
  <c r="N134" i="57"/>
  <c r="L134" i="57"/>
  <c r="L130" i="57"/>
  <c r="N130" i="57" s="1"/>
  <c r="L129" i="57"/>
  <c r="N129" i="57" s="1"/>
  <c r="L128" i="57"/>
  <c r="N128" i="57" s="1"/>
  <c r="N127" i="57"/>
  <c r="L127" i="57"/>
  <c r="L126" i="57"/>
  <c r="N126" i="57" s="1"/>
  <c r="L125" i="57"/>
  <c r="N125" i="57" s="1"/>
  <c r="L124" i="57"/>
  <c r="N124" i="57" s="1"/>
  <c r="N119" i="57"/>
  <c r="L119" i="57"/>
  <c r="N118" i="57"/>
  <c r="M118" i="57"/>
  <c r="L118" i="57"/>
  <c r="N117" i="57"/>
  <c r="L117" i="57"/>
  <c r="N116" i="57"/>
  <c r="L116" i="57"/>
  <c r="L115" i="57"/>
  <c r="N115" i="57" s="1"/>
  <c r="L114" i="57"/>
  <c r="N114" i="57" s="1"/>
  <c r="L113" i="57"/>
  <c r="N113" i="57" s="1"/>
  <c r="L112" i="57"/>
  <c r="N112" i="57" s="1"/>
  <c r="M111" i="57"/>
  <c r="L111" i="57"/>
  <c r="N111" i="57" s="1"/>
  <c r="L110" i="57"/>
  <c r="N110" i="57" s="1"/>
  <c r="N109" i="57"/>
  <c r="M109" i="57"/>
  <c r="L109" i="57"/>
  <c r="L108" i="57"/>
  <c r="N107" i="57"/>
  <c r="L107" i="57"/>
  <c r="L106" i="57"/>
  <c r="N106" i="57" s="1"/>
  <c r="L105" i="57"/>
  <c r="N105" i="57" s="1"/>
  <c r="L104" i="57"/>
  <c r="N104" i="57" s="1"/>
  <c r="N103" i="57"/>
  <c r="L103" i="57"/>
  <c r="L102" i="57"/>
  <c r="N102" i="57" s="1"/>
  <c r="L101" i="57"/>
  <c r="N101" i="57" s="1"/>
  <c r="M100" i="57"/>
  <c r="L100" i="57"/>
  <c r="N100" i="57" s="1"/>
  <c r="L99" i="57"/>
  <c r="N99" i="57" s="1"/>
  <c r="L98" i="57"/>
  <c r="N98" i="57" s="1"/>
  <c r="M97" i="57"/>
  <c r="L97" i="57"/>
  <c r="N97" i="57" s="1"/>
  <c r="L96" i="57"/>
  <c r="N96" i="57" s="1"/>
  <c r="L95" i="57"/>
  <c r="N95" i="57" s="1"/>
  <c r="M94" i="57"/>
  <c r="L94" i="57"/>
  <c r="N94" i="57" s="1"/>
  <c r="L93" i="57"/>
  <c r="N93" i="57" s="1"/>
  <c r="L92" i="57"/>
  <c r="N92" i="57" s="1"/>
  <c r="N91" i="57"/>
  <c r="L91" i="57"/>
  <c r="N90" i="57"/>
  <c r="L90" i="57"/>
  <c r="N89" i="57"/>
  <c r="L89" i="57"/>
  <c r="N88" i="57"/>
  <c r="M88" i="57"/>
  <c r="L88" i="57"/>
  <c r="N87" i="57"/>
  <c r="L87" i="57"/>
  <c r="N86" i="57"/>
  <c r="L86" i="57"/>
  <c r="L85" i="57"/>
  <c r="N85" i="57" s="1"/>
  <c r="L84" i="57"/>
  <c r="N84" i="57" s="1"/>
  <c r="L83" i="57"/>
  <c r="N83" i="57" s="1"/>
  <c r="L79" i="57"/>
  <c r="N79" i="57" s="1"/>
  <c r="L78" i="57"/>
  <c r="N78" i="57" s="1"/>
  <c r="N77" i="57"/>
  <c r="L77" i="57"/>
  <c r="M76" i="57"/>
  <c r="L76" i="57"/>
  <c r="L75" i="57"/>
  <c r="L74" i="57"/>
  <c r="N74" i="57" s="1"/>
  <c r="L73" i="57"/>
  <c r="N73" i="57" s="1"/>
  <c r="L72" i="57"/>
  <c r="N72" i="57" s="1"/>
  <c r="N71" i="57"/>
  <c r="M71" i="57"/>
  <c r="L71" i="57"/>
  <c r="N70" i="57"/>
  <c r="M70" i="57"/>
  <c r="L70" i="57"/>
  <c r="N69" i="57"/>
  <c r="L69" i="57"/>
  <c r="L68" i="57"/>
  <c r="L67" i="57"/>
  <c r="L66" i="57"/>
  <c r="N66" i="57" s="1"/>
  <c r="L65" i="57"/>
  <c r="N65" i="57" s="1"/>
  <c r="L64" i="57"/>
  <c r="N64" i="57" s="1"/>
  <c r="M63" i="57"/>
  <c r="N63" i="57" s="1"/>
  <c r="L63" i="57"/>
  <c r="L62" i="57"/>
  <c r="N62" i="57" s="1"/>
  <c r="L61" i="57"/>
  <c r="N61" i="57" s="1"/>
  <c r="N60" i="57"/>
  <c r="M60" i="57"/>
  <c r="L60" i="57"/>
  <c r="N59" i="57"/>
  <c r="M59" i="57"/>
  <c r="L59" i="57"/>
  <c r="N58" i="57"/>
  <c r="L58" i="57"/>
  <c r="L57" i="57"/>
  <c r="N57" i="57" s="1"/>
  <c r="L56" i="57"/>
  <c r="N56" i="57" s="1"/>
  <c r="N55" i="57"/>
  <c r="L55" i="57"/>
  <c r="N54" i="57"/>
  <c r="L54" i="57"/>
  <c r="M53" i="57"/>
  <c r="L53" i="57"/>
  <c r="L52" i="57"/>
  <c r="L51" i="57"/>
  <c r="L50" i="57"/>
  <c r="L49" i="57"/>
  <c r="L48" i="57"/>
  <c r="N48" i="57" s="1"/>
  <c r="L47" i="57"/>
  <c r="N47" i="57" s="1"/>
  <c r="L46" i="57"/>
  <c r="N46" i="57" s="1"/>
  <c r="L45" i="57"/>
  <c r="N45" i="57" s="1"/>
  <c r="N41" i="57"/>
  <c r="L41" i="57"/>
  <c r="N40" i="57"/>
  <c r="L40" i="57"/>
  <c r="L39" i="57"/>
  <c r="N39" i="57" s="1"/>
  <c r="L38" i="57"/>
  <c r="N38" i="57" s="1"/>
  <c r="L37" i="57"/>
  <c r="N37" i="57" s="1"/>
  <c r="L36" i="57"/>
  <c r="N36" i="57" s="1"/>
  <c r="L35" i="57"/>
  <c r="N35" i="57" s="1"/>
  <c r="L34" i="57"/>
  <c r="L33" i="57"/>
  <c r="L32" i="57"/>
  <c r="L31" i="57"/>
  <c r="N31" i="57" s="1"/>
  <c r="K26" i="57"/>
  <c r="J26" i="57"/>
  <c r="I26" i="57"/>
  <c r="H26" i="57"/>
  <c r="G26" i="57"/>
  <c r="F26" i="57"/>
  <c r="E26" i="57"/>
  <c r="D26" i="57"/>
  <c r="C26" i="57"/>
  <c r="L25" i="57"/>
  <c r="N25" i="57" s="1"/>
  <c r="N24" i="57"/>
  <c r="L24" i="57"/>
  <c r="L22" i="57"/>
  <c r="L21" i="57"/>
  <c r="N21" i="57" s="1"/>
  <c r="L20" i="57"/>
  <c r="N20" i="57" s="1"/>
  <c r="L19" i="57"/>
  <c r="N19" i="57" s="1"/>
  <c r="L18" i="57"/>
  <c r="N15" i="57"/>
  <c r="L15" i="57"/>
  <c r="N13" i="57"/>
  <c r="L13" i="57"/>
  <c r="L12" i="57"/>
  <c r="L11" i="57"/>
  <c r="N10" i="57"/>
  <c r="M10" i="57"/>
  <c r="L10" i="57"/>
  <c r="L26" i="57" s="1"/>
  <c r="C158" i="56"/>
  <c r="O31" i="60" l="1"/>
  <c r="O136" i="60"/>
  <c r="O118" i="60"/>
  <c r="O71" i="60"/>
  <c r="O115" i="60"/>
  <c r="O87" i="60"/>
  <c r="O114" i="60"/>
  <c r="O41" i="60"/>
  <c r="O88" i="60"/>
  <c r="O104" i="60"/>
  <c r="O113" i="60"/>
  <c r="O83" i="60"/>
  <c r="O137" i="60"/>
  <c r="O117" i="60"/>
  <c r="O79" i="60"/>
  <c r="O24" i="60"/>
  <c r="O20" i="60"/>
  <c r="O19" i="60"/>
  <c r="O22" i="60"/>
  <c r="O18" i="60"/>
  <c r="O13" i="60"/>
  <c r="C150" i="60"/>
  <c r="C152" i="60" s="1"/>
  <c r="O25" i="60"/>
  <c r="O21" i="60"/>
  <c r="O15" i="60"/>
  <c r="O59" i="60"/>
  <c r="O134" i="60"/>
  <c r="O127" i="60"/>
  <c r="O112" i="60"/>
  <c r="O135" i="60"/>
  <c r="O128" i="60"/>
  <c r="O116" i="60"/>
  <c r="O103" i="60"/>
  <c r="O86" i="60"/>
  <c r="O77" i="60"/>
  <c r="O69" i="60"/>
  <c r="O57" i="60"/>
  <c r="O47" i="60"/>
  <c r="C151" i="60"/>
  <c r="O129" i="60"/>
  <c r="O125" i="60"/>
  <c r="O106" i="60"/>
  <c r="O105" i="60"/>
  <c r="O92" i="60"/>
  <c r="O78" i="60"/>
  <c r="O72" i="60"/>
  <c r="O130" i="60"/>
  <c r="O111" i="60"/>
  <c r="O107" i="60"/>
  <c r="O67" i="60"/>
  <c r="O46" i="60"/>
  <c r="O108" i="60"/>
  <c r="O101" i="60"/>
  <c r="O100" i="60"/>
  <c r="O99" i="60"/>
  <c r="O98" i="60"/>
  <c r="O97" i="60"/>
  <c r="O96" i="60"/>
  <c r="O95" i="60"/>
  <c r="O94" i="60"/>
  <c r="O93" i="60"/>
  <c r="O85" i="60"/>
  <c r="O74" i="60"/>
  <c r="O68" i="60"/>
  <c r="O65" i="60"/>
  <c r="O58" i="60"/>
  <c r="O40" i="60"/>
  <c r="O110" i="60"/>
  <c r="O102" i="60"/>
  <c r="O84" i="60"/>
  <c r="O76" i="60"/>
  <c r="O54" i="60"/>
  <c r="O53" i="60"/>
  <c r="O52" i="60"/>
  <c r="O50" i="60"/>
  <c r="O48" i="60"/>
  <c r="O45" i="60"/>
  <c r="O39" i="60"/>
  <c r="O37" i="60"/>
  <c r="O35" i="60"/>
  <c r="O109" i="60"/>
  <c r="O75" i="60"/>
  <c r="O61" i="60"/>
  <c r="O56" i="60"/>
  <c r="O126" i="60"/>
  <c r="O73" i="60"/>
  <c r="O66" i="60"/>
  <c r="O51" i="60"/>
  <c r="O49" i="60"/>
  <c r="O38" i="60"/>
  <c r="O36" i="60"/>
  <c r="O119" i="60"/>
  <c r="O89" i="60"/>
  <c r="O33" i="60"/>
  <c r="O124" i="60"/>
  <c r="O90" i="60"/>
  <c r="O64" i="60"/>
  <c r="O91" i="60"/>
  <c r="O70" i="60"/>
  <c r="O60" i="60"/>
  <c r="O34" i="60"/>
  <c r="O136" i="59"/>
  <c r="O105" i="59"/>
  <c r="O129" i="59"/>
  <c r="O115" i="59"/>
  <c r="O46" i="59"/>
  <c r="O110" i="59"/>
  <c r="O94" i="59"/>
  <c r="O128" i="59"/>
  <c r="O137" i="59"/>
  <c r="O88" i="59"/>
  <c r="O48" i="59"/>
  <c r="O93" i="59"/>
  <c r="O119" i="59"/>
  <c r="O100" i="59"/>
  <c r="O41" i="59"/>
  <c r="O57" i="59"/>
  <c r="O72" i="59"/>
  <c r="O135" i="59"/>
  <c r="O84" i="59"/>
  <c r="O49" i="59"/>
  <c r="O36" i="59"/>
  <c r="O89" i="59"/>
  <c r="O99" i="59"/>
  <c r="O61" i="59"/>
  <c r="O34" i="59"/>
  <c r="O127" i="59"/>
  <c r="O71" i="59"/>
  <c r="O101" i="59"/>
  <c r="O92" i="59"/>
  <c r="O103" i="59"/>
  <c r="O79" i="59"/>
  <c r="O70" i="59"/>
  <c r="O45" i="59"/>
  <c r="O53" i="59"/>
  <c r="O50" i="59"/>
  <c r="O97" i="59"/>
  <c r="O39" i="59"/>
  <c r="O125" i="59"/>
  <c r="O74" i="59"/>
  <c r="O114" i="59"/>
  <c r="O134" i="59"/>
  <c r="O108" i="59"/>
  <c r="O87" i="59"/>
  <c r="O65" i="59"/>
  <c r="O33" i="59"/>
  <c r="O96" i="59"/>
  <c r="O38" i="59"/>
  <c r="O124" i="59"/>
  <c r="O32" i="59"/>
  <c r="O95" i="59"/>
  <c r="O73" i="59"/>
  <c r="O109" i="59"/>
  <c r="O91" i="59"/>
  <c r="O104" i="59"/>
  <c r="O77" i="59"/>
  <c r="O59" i="59"/>
  <c r="O56" i="59"/>
  <c r="O58" i="59"/>
  <c r="O113" i="59"/>
  <c r="O85" i="59"/>
  <c r="O86" i="59"/>
  <c r="C151" i="59"/>
  <c r="C152" i="59" s="1"/>
  <c r="C170" i="59" s="1"/>
  <c r="O78" i="59"/>
  <c r="O35" i="59"/>
  <c r="O116" i="59"/>
  <c r="O60" i="59"/>
  <c r="O112" i="59"/>
  <c r="O47" i="59"/>
  <c r="O102" i="59"/>
  <c r="O98" i="59"/>
  <c r="O76" i="59"/>
  <c r="O52" i="59"/>
  <c r="O37" i="59"/>
  <c r="O51" i="59"/>
  <c r="O31" i="59"/>
  <c r="O118" i="59"/>
  <c r="O68" i="59"/>
  <c r="O117" i="59"/>
  <c r="O90" i="59"/>
  <c r="O67" i="59"/>
  <c r="O40" i="59"/>
  <c r="O111" i="59"/>
  <c r="O75" i="59"/>
  <c r="O130" i="59"/>
  <c r="O69" i="59"/>
  <c r="O107" i="59"/>
  <c r="O54" i="59"/>
  <c r="O64" i="59"/>
  <c r="O83" i="59"/>
  <c r="O126" i="59"/>
  <c r="O66" i="59"/>
  <c r="O12" i="59"/>
  <c r="O22" i="59"/>
  <c r="O25" i="59"/>
  <c r="O15" i="59"/>
  <c r="N138" i="59"/>
  <c r="N136" i="57"/>
  <c r="N34" i="57"/>
  <c r="N33" i="57"/>
  <c r="M138" i="57"/>
  <c r="O104" i="57" s="1"/>
  <c r="N32" i="57"/>
  <c r="N22" i="57"/>
  <c r="M26" i="57"/>
  <c r="O25" i="57" s="1"/>
  <c r="N51" i="57"/>
  <c r="N53" i="57"/>
  <c r="O20" i="57"/>
  <c r="N12" i="57"/>
  <c r="N49" i="57"/>
  <c r="N68" i="57"/>
  <c r="N76" i="57"/>
  <c r="N50" i="57"/>
  <c r="N52" i="57"/>
  <c r="N67" i="57"/>
  <c r="N75" i="57"/>
  <c r="L138" i="57"/>
  <c r="C165" i="56"/>
  <c r="C146" i="56"/>
  <c r="C160" i="56"/>
  <c r="C170" i="60" l="1"/>
  <c r="C168" i="60"/>
  <c r="C168" i="59"/>
  <c r="O90" i="57"/>
  <c r="O49" i="57"/>
  <c r="O93" i="57"/>
  <c r="O67" i="57"/>
  <c r="O78" i="57"/>
  <c r="O48" i="57"/>
  <c r="O79" i="57"/>
  <c r="O41" i="57"/>
  <c r="O71" i="57"/>
  <c r="O92" i="57"/>
  <c r="O83" i="57"/>
  <c r="O124" i="57"/>
  <c r="O100" i="57"/>
  <c r="O37" i="57"/>
  <c r="O103" i="57"/>
  <c r="O40" i="57"/>
  <c r="O32" i="57"/>
  <c r="O98" i="57"/>
  <c r="O72" i="57"/>
  <c r="O33" i="57"/>
  <c r="O58" i="57"/>
  <c r="O107" i="57"/>
  <c r="O106" i="57"/>
  <c r="O54" i="57"/>
  <c r="O118" i="57"/>
  <c r="O61" i="57"/>
  <c r="O51" i="57"/>
  <c r="O52" i="57"/>
  <c r="O135" i="57"/>
  <c r="O74" i="57"/>
  <c r="O108" i="57"/>
  <c r="O105" i="57"/>
  <c r="O94" i="57"/>
  <c r="O95" i="57"/>
  <c r="O68" i="57"/>
  <c r="O114" i="57"/>
  <c r="O69" i="57"/>
  <c r="O39" i="57"/>
  <c r="O126" i="57"/>
  <c r="O60" i="57"/>
  <c r="O56" i="57"/>
  <c r="O45" i="57"/>
  <c r="O96" i="57"/>
  <c r="O75" i="57"/>
  <c r="O64" i="57"/>
  <c r="O50" i="57"/>
  <c r="O101" i="57"/>
  <c r="O76" i="57"/>
  <c r="O111" i="57"/>
  <c r="O70" i="57"/>
  <c r="O134" i="57"/>
  <c r="O85" i="57"/>
  <c r="O128" i="57"/>
  <c r="O88" i="57"/>
  <c r="O47" i="57"/>
  <c r="O125" i="57"/>
  <c r="O97" i="57"/>
  <c r="O36" i="57"/>
  <c r="O116" i="57"/>
  <c r="O66" i="57"/>
  <c r="O115" i="57"/>
  <c r="O136" i="57"/>
  <c r="O87" i="57"/>
  <c r="O117" i="57"/>
  <c r="O65" i="57"/>
  <c r="C151" i="57"/>
  <c r="O99" i="57"/>
  <c r="N138" i="57"/>
  <c r="O31" i="57"/>
  <c r="O110" i="57"/>
  <c r="O59" i="57"/>
  <c r="O77" i="57"/>
  <c r="O127" i="57"/>
  <c r="O57" i="57"/>
  <c r="O102" i="57"/>
  <c r="O130" i="57"/>
  <c r="O137" i="57"/>
  <c r="O86" i="57"/>
  <c r="O91" i="57"/>
  <c r="O119" i="57"/>
  <c r="O84" i="57"/>
  <c r="O129" i="57"/>
  <c r="O34" i="57"/>
  <c r="O53" i="57"/>
  <c r="O46" i="57"/>
  <c r="O89" i="57"/>
  <c r="O109" i="57"/>
  <c r="O35" i="57"/>
  <c r="O73" i="57"/>
  <c r="O112" i="57"/>
  <c r="O113" i="57"/>
  <c r="O38" i="57"/>
  <c r="N26" i="57"/>
  <c r="O10" i="57"/>
  <c r="O15" i="57"/>
  <c r="O18" i="57"/>
  <c r="O24" i="57"/>
  <c r="O22" i="57"/>
  <c r="O21" i="57"/>
  <c r="O19" i="57"/>
  <c r="O12" i="57"/>
  <c r="O13" i="57"/>
  <c r="C150" i="57"/>
  <c r="M51" i="56"/>
  <c r="M136" i="56"/>
  <c r="N136" i="56" s="1"/>
  <c r="M119" i="56"/>
  <c r="M118" i="56"/>
  <c r="M117" i="56"/>
  <c r="M113" i="56"/>
  <c r="M111" i="56"/>
  <c r="N111" i="56" s="1"/>
  <c r="M108" i="56"/>
  <c r="M100" i="56"/>
  <c r="M99" i="56"/>
  <c r="M98" i="56"/>
  <c r="M97" i="56"/>
  <c r="M96" i="56"/>
  <c r="M95" i="56"/>
  <c r="N95" i="56" s="1"/>
  <c r="M90" i="56"/>
  <c r="M89" i="56"/>
  <c r="M87" i="56"/>
  <c r="M83" i="56"/>
  <c r="M79" i="56"/>
  <c r="M75" i="56"/>
  <c r="M71" i="56"/>
  <c r="M68" i="56"/>
  <c r="M67" i="56"/>
  <c r="M52" i="56"/>
  <c r="M63" i="56"/>
  <c r="M59" i="56"/>
  <c r="M55" i="56"/>
  <c r="N51" i="56"/>
  <c r="M49" i="56"/>
  <c r="N49" i="56" s="1"/>
  <c r="M46" i="56"/>
  <c r="M45" i="56"/>
  <c r="M38" i="56"/>
  <c r="M37" i="56"/>
  <c r="M36" i="56"/>
  <c r="N36" i="56" s="1"/>
  <c r="M34" i="56"/>
  <c r="M33" i="56"/>
  <c r="M32" i="56"/>
  <c r="M31" i="56"/>
  <c r="M20" i="56"/>
  <c r="M18" i="56"/>
  <c r="M15" i="56"/>
  <c r="M12" i="56"/>
  <c r="N12" i="56" s="1"/>
  <c r="M10" i="56"/>
  <c r="K138" i="56"/>
  <c r="J138" i="56"/>
  <c r="I138" i="56"/>
  <c r="H138" i="56"/>
  <c r="G138" i="56"/>
  <c r="F138" i="56"/>
  <c r="E138" i="56"/>
  <c r="D138" i="56"/>
  <c r="C138" i="56"/>
  <c r="N137" i="56"/>
  <c r="M137" i="56"/>
  <c r="L137" i="56"/>
  <c r="L136" i="56"/>
  <c r="N135" i="56"/>
  <c r="L135" i="56"/>
  <c r="L134" i="56"/>
  <c r="N134" i="56" s="1"/>
  <c r="L130" i="56"/>
  <c r="N130" i="56" s="1"/>
  <c r="N129" i="56"/>
  <c r="L129" i="56"/>
  <c r="N128" i="56"/>
  <c r="L128" i="56"/>
  <c r="L127" i="56"/>
  <c r="N127" i="56" s="1"/>
  <c r="L126" i="56"/>
  <c r="N126" i="56" s="1"/>
  <c r="N125" i="56"/>
  <c r="L125" i="56"/>
  <c r="N124" i="56"/>
  <c r="L124" i="56"/>
  <c r="L119" i="56"/>
  <c r="L118" i="56"/>
  <c r="L117" i="56"/>
  <c r="L116" i="56"/>
  <c r="N116" i="56" s="1"/>
  <c r="L115" i="56"/>
  <c r="N115" i="56" s="1"/>
  <c r="M114" i="56"/>
  <c r="L114" i="56"/>
  <c r="N114" i="56" s="1"/>
  <c r="L113" i="56"/>
  <c r="N112" i="56"/>
  <c r="L112" i="56"/>
  <c r="L111" i="56"/>
  <c r="N110" i="56"/>
  <c r="L110" i="56"/>
  <c r="M109" i="56"/>
  <c r="L109" i="56"/>
  <c r="L108" i="56"/>
  <c r="L107" i="56"/>
  <c r="N107" i="56" s="1"/>
  <c r="L106" i="56"/>
  <c r="N106" i="56" s="1"/>
  <c r="N105" i="56"/>
  <c r="L105" i="56"/>
  <c r="N104" i="56"/>
  <c r="L104" i="56"/>
  <c r="L103" i="56"/>
  <c r="N103" i="56" s="1"/>
  <c r="L102" i="56"/>
  <c r="N102" i="56" s="1"/>
  <c r="M101" i="56"/>
  <c r="L101" i="56"/>
  <c r="N101" i="56" s="1"/>
  <c r="L100" i="56"/>
  <c r="N100" i="56" s="1"/>
  <c r="L99" i="56"/>
  <c r="N99" i="56" s="1"/>
  <c r="L98" i="56"/>
  <c r="L97" i="56"/>
  <c r="N97" i="56" s="1"/>
  <c r="L96" i="56"/>
  <c r="N96" i="56" s="1"/>
  <c r="L95" i="56"/>
  <c r="N94" i="56"/>
  <c r="M94" i="56"/>
  <c r="L94" i="56"/>
  <c r="N93" i="56"/>
  <c r="L93" i="56"/>
  <c r="L92" i="56"/>
  <c r="N92" i="56" s="1"/>
  <c r="M91" i="56"/>
  <c r="L91" i="56"/>
  <c r="N91" i="56" s="1"/>
  <c r="L90" i="56"/>
  <c r="L89" i="56"/>
  <c r="M88" i="56"/>
  <c r="L88" i="56"/>
  <c r="N88" i="56" s="1"/>
  <c r="L87" i="56"/>
  <c r="L86" i="56"/>
  <c r="N86" i="56" s="1"/>
  <c r="N85" i="56"/>
  <c r="L85" i="56"/>
  <c r="N84" i="56"/>
  <c r="L84" i="56"/>
  <c r="L83" i="56"/>
  <c r="L79" i="56"/>
  <c r="L78" i="56"/>
  <c r="N78" i="56" s="1"/>
  <c r="L77" i="56"/>
  <c r="N77" i="56" s="1"/>
  <c r="M76" i="56"/>
  <c r="L76" i="56"/>
  <c r="N76" i="56" s="1"/>
  <c r="L75" i="56"/>
  <c r="N75" i="56" s="1"/>
  <c r="N74" i="56"/>
  <c r="L74" i="56"/>
  <c r="N73" i="56"/>
  <c r="L73" i="56"/>
  <c r="L72" i="56"/>
  <c r="N72" i="56" s="1"/>
  <c r="L71" i="56"/>
  <c r="M70" i="56"/>
  <c r="L70" i="56"/>
  <c r="N70" i="56" s="1"/>
  <c r="L69" i="56"/>
  <c r="N69" i="56" s="1"/>
  <c r="L68" i="56"/>
  <c r="N68" i="56" s="1"/>
  <c r="L67" i="56"/>
  <c r="N67" i="56" s="1"/>
  <c r="N66" i="56"/>
  <c r="L66" i="56"/>
  <c r="N65" i="56"/>
  <c r="L65" i="56"/>
  <c r="L64" i="56"/>
  <c r="N64" i="56" s="1"/>
  <c r="L63" i="56"/>
  <c r="N63" i="56" s="1"/>
  <c r="N62" i="56"/>
  <c r="L62" i="56"/>
  <c r="L61" i="56"/>
  <c r="N61" i="56" s="1"/>
  <c r="M60" i="56"/>
  <c r="L60" i="56"/>
  <c r="N60" i="56" s="1"/>
  <c r="L59" i="56"/>
  <c r="N59" i="56" s="1"/>
  <c r="N58" i="56"/>
  <c r="L58" i="56"/>
  <c r="N57" i="56"/>
  <c r="L57" i="56"/>
  <c r="L56" i="56"/>
  <c r="N56" i="56" s="1"/>
  <c r="L55" i="56"/>
  <c r="N55" i="56" s="1"/>
  <c r="N54" i="56"/>
  <c r="L54" i="56"/>
  <c r="N53" i="56"/>
  <c r="M53" i="56"/>
  <c r="L53" i="56"/>
  <c r="N52" i="56"/>
  <c r="L52" i="56"/>
  <c r="L51" i="56"/>
  <c r="N50" i="56"/>
  <c r="M50" i="56"/>
  <c r="L50" i="56"/>
  <c r="L49" i="56"/>
  <c r="N48" i="56"/>
  <c r="L48" i="56"/>
  <c r="L47" i="56"/>
  <c r="N47" i="56" s="1"/>
  <c r="L46" i="56"/>
  <c r="N46" i="56" s="1"/>
  <c r="L45" i="56"/>
  <c r="N45" i="56" s="1"/>
  <c r="L41" i="56"/>
  <c r="N41" i="56" s="1"/>
  <c r="N40" i="56"/>
  <c r="L40" i="56"/>
  <c r="N39" i="56"/>
  <c r="L39" i="56"/>
  <c r="N38" i="56"/>
  <c r="L38" i="56"/>
  <c r="L37" i="56"/>
  <c r="L36" i="56"/>
  <c r="L35" i="56"/>
  <c r="N35" i="56" s="1"/>
  <c r="L34" i="56"/>
  <c r="N34" i="56" s="1"/>
  <c r="L33" i="56"/>
  <c r="N33" i="56" s="1"/>
  <c r="L32" i="56"/>
  <c r="N32" i="56" s="1"/>
  <c r="L31" i="56"/>
  <c r="K26" i="56"/>
  <c r="J26" i="56"/>
  <c r="I26" i="56"/>
  <c r="H26" i="56"/>
  <c r="G26" i="56"/>
  <c r="F26" i="56"/>
  <c r="E26" i="56"/>
  <c r="D26" i="56"/>
  <c r="C26" i="56"/>
  <c r="L25" i="56"/>
  <c r="N25" i="56" s="1"/>
  <c r="L24" i="56"/>
  <c r="N24" i="56" s="1"/>
  <c r="N22" i="56"/>
  <c r="L22" i="56"/>
  <c r="L21" i="56"/>
  <c r="N21" i="56" s="1"/>
  <c r="L20" i="56"/>
  <c r="L19" i="56"/>
  <c r="N19" i="56" s="1"/>
  <c r="L18" i="56"/>
  <c r="N18" i="56" s="1"/>
  <c r="L15" i="56"/>
  <c r="L13" i="56"/>
  <c r="N13" i="56" s="1"/>
  <c r="L12" i="56"/>
  <c r="L11" i="56"/>
  <c r="L10" i="56"/>
  <c r="C158" i="55"/>
  <c r="C165" i="55" s="1"/>
  <c r="C146" i="55"/>
  <c r="K138" i="55"/>
  <c r="J138" i="55"/>
  <c r="I138" i="55"/>
  <c r="H138" i="55"/>
  <c r="G138" i="55"/>
  <c r="F138" i="55"/>
  <c r="E138" i="55"/>
  <c r="D138" i="55"/>
  <c r="C138" i="55"/>
  <c r="M137" i="55"/>
  <c r="L137" i="55"/>
  <c r="N137" i="55" s="1"/>
  <c r="M136" i="55"/>
  <c r="L136" i="55"/>
  <c r="N136" i="55" s="1"/>
  <c r="L135" i="55"/>
  <c r="N135" i="55" s="1"/>
  <c r="L134" i="55"/>
  <c r="N134" i="55" s="1"/>
  <c r="N130" i="55"/>
  <c r="L130" i="55"/>
  <c r="L129" i="55"/>
  <c r="N129" i="55" s="1"/>
  <c r="L128" i="55"/>
  <c r="N128" i="55" s="1"/>
  <c r="L127" i="55"/>
  <c r="N127" i="55" s="1"/>
  <c r="N126" i="55"/>
  <c r="L126" i="55"/>
  <c r="L125" i="55"/>
  <c r="N125" i="55" s="1"/>
  <c r="L124" i="55"/>
  <c r="N124" i="55" s="1"/>
  <c r="M119" i="55"/>
  <c r="L119" i="55"/>
  <c r="N119" i="55" s="1"/>
  <c r="M118" i="55"/>
  <c r="L118" i="55"/>
  <c r="N118" i="55" s="1"/>
  <c r="M117" i="55"/>
  <c r="L117" i="55"/>
  <c r="N117" i="55" s="1"/>
  <c r="L116" i="55"/>
  <c r="N116" i="55" s="1"/>
  <c r="N115" i="55"/>
  <c r="L115" i="55"/>
  <c r="M114" i="55"/>
  <c r="L114" i="55"/>
  <c r="M113" i="55"/>
  <c r="L113" i="55"/>
  <c r="N112" i="55"/>
  <c r="L112" i="55"/>
  <c r="M111" i="55"/>
  <c r="L111" i="55"/>
  <c r="N111" i="55" s="1"/>
  <c r="L110" i="55"/>
  <c r="N110" i="55" s="1"/>
  <c r="M109" i="55"/>
  <c r="L109" i="55"/>
  <c r="N109" i="55" s="1"/>
  <c r="M108" i="55"/>
  <c r="L108" i="55"/>
  <c r="N108" i="55" s="1"/>
  <c r="L107" i="55"/>
  <c r="N107" i="55" s="1"/>
  <c r="N106" i="55"/>
  <c r="L106" i="55"/>
  <c r="N105" i="55"/>
  <c r="L105" i="55"/>
  <c r="L104" i="55"/>
  <c r="N104" i="55" s="1"/>
  <c r="L103" i="55"/>
  <c r="N103" i="55" s="1"/>
  <c r="N102" i="55"/>
  <c r="L102" i="55"/>
  <c r="N101" i="55"/>
  <c r="M101" i="55"/>
  <c r="L101" i="55"/>
  <c r="M100" i="55"/>
  <c r="L100" i="55"/>
  <c r="M99" i="55"/>
  <c r="L99" i="55"/>
  <c r="M98" i="55"/>
  <c r="L98" i="55"/>
  <c r="N97" i="55"/>
  <c r="M97" i="55"/>
  <c r="L97" i="55"/>
  <c r="M96" i="55"/>
  <c r="L96" i="55"/>
  <c r="L95" i="55"/>
  <c r="N95" i="55" s="1"/>
  <c r="M94" i="55"/>
  <c r="L94" i="55"/>
  <c r="L93" i="55"/>
  <c r="N93" i="55" s="1"/>
  <c r="L92" i="55"/>
  <c r="N92" i="55" s="1"/>
  <c r="N91" i="55"/>
  <c r="M91" i="55"/>
  <c r="L91" i="55"/>
  <c r="N90" i="55"/>
  <c r="M90" i="55"/>
  <c r="L90" i="55"/>
  <c r="N89" i="55"/>
  <c r="M89" i="55"/>
  <c r="L89" i="55"/>
  <c r="N88" i="55"/>
  <c r="M88" i="55"/>
  <c r="L88" i="55"/>
  <c r="N87" i="55"/>
  <c r="M87" i="55"/>
  <c r="L87" i="55"/>
  <c r="N86" i="55"/>
  <c r="L86" i="55"/>
  <c r="N85" i="55"/>
  <c r="L85" i="55"/>
  <c r="L84" i="55"/>
  <c r="N84" i="55" s="1"/>
  <c r="M83" i="55"/>
  <c r="L83" i="55"/>
  <c r="N83" i="55" s="1"/>
  <c r="M79" i="55"/>
  <c r="L79" i="55"/>
  <c r="N79" i="55" s="1"/>
  <c r="L78" i="55"/>
  <c r="N78" i="55" s="1"/>
  <c r="N77" i="55"/>
  <c r="L77" i="55"/>
  <c r="M76" i="55"/>
  <c r="L76" i="55"/>
  <c r="M75" i="55"/>
  <c r="L75" i="55"/>
  <c r="N74" i="55"/>
  <c r="L74" i="55"/>
  <c r="L73" i="55"/>
  <c r="N73" i="55" s="1"/>
  <c r="L72" i="55"/>
  <c r="N72" i="55" s="1"/>
  <c r="N71" i="55"/>
  <c r="M71" i="55"/>
  <c r="L71" i="55"/>
  <c r="N70" i="55"/>
  <c r="M70" i="55"/>
  <c r="L70" i="55"/>
  <c r="N69" i="55"/>
  <c r="L69" i="55"/>
  <c r="N68" i="55"/>
  <c r="M68" i="55"/>
  <c r="L68" i="55"/>
  <c r="M67" i="55"/>
  <c r="L67" i="55"/>
  <c r="L66" i="55"/>
  <c r="N66" i="55" s="1"/>
  <c r="L65" i="55"/>
  <c r="N65" i="55" s="1"/>
  <c r="L64" i="55"/>
  <c r="N64" i="55" s="1"/>
  <c r="M63" i="55"/>
  <c r="N63" i="55" s="1"/>
  <c r="L63" i="55"/>
  <c r="N62" i="55"/>
  <c r="L62" i="55"/>
  <c r="L61" i="55"/>
  <c r="N61" i="55" s="1"/>
  <c r="M60" i="55"/>
  <c r="L60" i="55"/>
  <c r="N60" i="55" s="1"/>
  <c r="N59" i="55"/>
  <c r="L59" i="55"/>
  <c r="N58" i="55"/>
  <c r="L58" i="55"/>
  <c r="L57" i="55"/>
  <c r="N57" i="55" s="1"/>
  <c r="L56" i="55"/>
  <c r="N56" i="55" s="1"/>
  <c r="M55" i="55"/>
  <c r="N55" i="55" s="1"/>
  <c r="L55" i="55"/>
  <c r="L54" i="55"/>
  <c r="N54" i="55" s="1"/>
  <c r="N53" i="55"/>
  <c r="M53" i="55"/>
  <c r="L53" i="55"/>
  <c r="M52" i="55"/>
  <c r="L52" i="55"/>
  <c r="M51" i="55"/>
  <c r="L51" i="55"/>
  <c r="N51" i="55" s="1"/>
  <c r="M50" i="55"/>
  <c r="L50" i="55"/>
  <c r="N50" i="55" s="1"/>
  <c r="N49" i="55"/>
  <c r="M49" i="55"/>
  <c r="L49" i="55"/>
  <c r="L48" i="55"/>
  <c r="N48" i="55" s="1"/>
  <c r="L47" i="55"/>
  <c r="N47" i="55" s="1"/>
  <c r="N46" i="55"/>
  <c r="M46" i="55"/>
  <c r="L46" i="55"/>
  <c r="N45" i="55"/>
  <c r="M45" i="55"/>
  <c r="L45" i="55"/>
  <c r="N41" i="55"/>
  <c r="L41" i="55"/>
  <c r="L40" i="55"/>
  <c r="N40" i="55" s="1"/>
  <c r="L39" i="55"/>
  <c r="N39" i="55" s="1"/>
  <c r="M38" i="55"/>
  <c r="L38" i="55"/>
  <c r="M37" i="55"/>
  <c r="L37" i="55"/>
  <c r="N37" i="55" s="1"/>
  <c r="M36" i="55"/>
  <c r="L36" i="55"/>
  <c r="N36" i="55" s="1"/>
  <c r="L35" i="55"/>
  <c r="N35" i="55" s="1"/>
  <c r="N34" i="55"/>
  <c r="M34" i="55"/>
  <c r="L34" i="55"/>
  <c r="N33" i="55"/>
  <c r="M33" i="55"/>
  <c r="L33" i="55"/>
  <c r="N32" i="55"/>
  <c r="M32" i="55"/>
  <c r="L32" i="55"/>
  <c r="N31" i="55"/>
  <c r="M31" i="55"/>
  <c r="L31" i="55"/>
  <c r="L138" i="55" s="1"/>
  <c r="K26" i="55"/>
  <c r="J26" i="55"/>
  <c r="I26" i="55"/>
  <c r="H26" i="55"/>
  <c r="G26" i="55"/>
  <c r="F26" i="55"/>
  <c r="E26" i="55"/>
  <c r="D26" i="55"/>
  <c r="C26" i="55"/>
  <c r="N25" i="55"/>
  <c r="L25" i="55"/>
  <c r="L24" i="55"/>
  <c r="N24" i="55" s="1"/>
  <c r="L22" i="55"/>
  <c r="N22" i="55" s="1"/>
  <c r="L21" i="55"/>
  <c r="N21" i="55" s="1"/>
  <c r="N20" i="55"/>
  <c r="M20" i="55"/>
  <c r="L20" i="55"/>
  <c r="N19" i="55"/>
  <c r="L19" i="55"/>
  <c r="M18" i="55"/>
  <c r="L18" i="55"/>
  <c r="M15" i="55"/>
  <c r="L15" i="55"/>
  <c r="L13" i="55"/>
  <c r="N13" i="55" s="1"/>
  <c r="M12" i="55"/>
  <c r="L12" i="55"/>
  <c r="N12" i="55" s="1"/>
  <c r="L11" i="55"/>
  <c r="M10" i="55"/>
  <c r="L10" i="55"/>
  <c r="L26" i="55" s="1"/>
  <c r="M18" i="54"/>
  <c r="C158" i="54"/>
  <c r="M136" i="54"/>
  <c r="M119" i="54"/>
  <c r="M118" i="54"/>
  <c r="M117" i="54"/>
  <c r="M114" i="54"/>
  <c r="M113" i="54"/>
  <c r="M111" i="54"/>
  <c r="M108" i="54"/>
  <c r="M100" i="54"/>
  <c r="M99" i="54"/>
  <c r="M97" i="54"/>
  <c r="M96" i="54"/>
  <c r="M94" i="54"/>
  <c r="M91" i="54"/>
  <c r="M90" i="54"/>
  <c r="M89" i="54"/>
  <c r="M88" i="54"/>
  <c r="M87" i="54"/>
  <c r="M83" i="54"/>
  <c r="M79" i="54"/>
  <c r="M76" i="54"/>
  <c r="M75" i="54"/>
  <c r="M71" i="54"/>
  <c r="M68" i="54"/>
  <c r="M67" i="54"/>
  <c r="M60" i="54"/>
  <c r="M55" i="54"/>
  <c r="M52" i="54"/>
  <c r="M51" i="54"/>
  <c r="M49" i="54"/>
  <c r="M46" i="54"/>
  <c r="M45" i="54"/>
  <c r="M38" i="54"/>
  <c r="M37" i="54"/>
  <c r="M36" i="54"/>
  <c r="M34" i="54"/>
  <c r="M33" i="54"/>
  <c r="M32" i="54"/>
  <c r="M31" i="54"/>
  <c r="M20" i="54"/>
  <c r="M15" i="54"/>
  <c r="M12" i="54"/>
  <c r="M10" i="54"/>
  <c r="C152" i="57" l="1"/>
  <c r="C170" i="57" s="1"/>
  <c r="N113" i="56"/>
  <c r="N98" i="56"/>
  <c r="N90" i="56"/>
  <c r="N89" i="56"/>
  <c r="N87" i="56"/>
  <c r="N71" i="56"/>
  <c r="M26" i="56"/>
  <c r="O15" i="56" s="1"/>
  <c r="N15" i="56"/>
  <c r="N10" i="56"/>
  <c r="L26" i="56"/>
  <c r="N119" i="56"/>
  <c r="N20" i="56"/>
  <c r="L138" i="56"/>
  <c r="N31" i="56"/>
  <c r="N37" i="56"/>
  <c r="N79" i="56"/>
  <c r="N108" i="56"/>
  <c r="N117" i="56"/>
  <c r="M138" i="56"/>
  <c r="O36" i="56" s="1"/>
  <c r="N83" i="56"/>
  <c r="N109" i="56"/>
  <c r="N118" i="56"/>
  <c r="O10" i="55"/>
  <c r="O18" i="55"/>
  <c r="O94" i="55"/>
  <c r="N15" i="55"/>
  <c r="N18" i="55"/>
  <c r="M26" i="55"/>
  <c r="O51" i="55"/>
  <c r="N52" i="55"/>
  <c r="N67" i="55"/>
  <c r="N96" i="55"/>
  <c r="N138" i="55" s="1"/>
  <c r="N100" i="55"/>
  <c r="O137" i="55"/>
  <c r="N10" i="55"/>
  <c r="O12" i="55"/>
  <c r="M138" i="55"/>
  <c r="O50" i="55"/>
  <c r="N76" i="55"/>
  <c r="O98" i="55"/>
  <c r="N99" i="55"/>
  <c r="N114" i="55"/>
  <c r="O36" i="55"/>
  <c r="N38" i="55"/>
  <c r="O53" i="55"/>
  <c r="O68" i="55"/>
  <c r="N75" i="55"/>
  <c r="N94" i="55"/>
  <c r="O97" i="55"/>
  <c r="N98" i="55"/>
  <c r="N113" i="55"/>
  <c r="O136" i="55"/>
  <c r="M111" i="53"/>
  <c r="M136" i="53"/>
  <c r="M114" i="53"/>
  <c r="M117" i="53"/>
  <c r="M119" i="53"/>
  <c r="M113" i="53"/>
  <c r="M109" i="53"/>
  <c r="M108" i="53"/>
  <c r="M100" i="53"/>
  <c r="M99" i="53"/>
  <c r="M98" i="53"/>
  <c r="M97" i="53"/>
  <c r="M96" i="53"/>
  <c r="M91" i="53"/>
  <c r="M90" i="53"/>
  <c r="M89" i="53"/>
  <c r="M87" i="53"/>
  <c r="M83" i="53"/>
  <c r="M79" i="53"/>
  <c r="M76" i="53"/>
  <c r="M75" i="53"/>
  <c r="M71" i="53"/>
  <c r="M68" i="53"/>
  <c r="M67" i="53"/>
  <c r="M63" i="53"/>
  <c r="M55" i="53"/>
  <c r="M52" i="53"/>
  <c r="M51" i="53"/>
  <c r="M50" i="53"/>
  <c r="M49" i="53"/>
  <c r="M46" i="53"/>
  <c r="M45" i="53"/>
  <c r="M38" i="53"/>
  <c r="M37" i="53"/>
  <c r="M36" i="53"/>
  <c r="M34" i="53"/>
  <c r="M33" i="53"/>
  <c r="M32" i="53"/>
  <c r="M31" i="53"/>
  <c r="C165" i="54"/>
  <c r="C146" i="54"/>
  <c r="K138" i="54"/>
  <c r="J138" i="54"/>
  <c r="I138" i="54"/>
  <c r="H138" i="54"/>
  <c r="G138" i="54"/>
  <c r="F138" i="54"/>
  <c r="E138" i="54"/>
  <c r="D138" i="54"/>
  <c r="C138" i="54"/>
  <c r="M137" i="54"/>
  <c r="L137" i="54"/>
  <c r="N137" i="54" s="1"/>
  <c r="L136" i="54"/>
  <c r="N136" i="54" s="1"/>
  <c r="L135" i="54"/>
  <c r="N135" i="54" s="1"/>
  <c r="L134" i="54"/>
  <c r="N134" i="54" s="1"/>
  <c r="N130" i="54"/>
  <c r="L130" i="54"/>
  <c r="L129" i="54"/>
  <c r="N129" i="54" s="1"/>
  <c r="L128" i="54"/>
  <c r="N128" i="54" s="1"/>
  <c r="L127" i="54"/>
  <c r="N127" i="54" s="1"/>
  <c r="N126" i="54"/>
  <c r="L126" i="54"/>
  <c r="L125" i="54"/>
  <c r="N125" i="54" s="1"/>
  <c r="L124" i="54"/>
  <c r="N124" i="54" s="1"/>
  <c r="L119" i="54"/>
  <c r="N119" i="54" s="1"/>
  <c r="L118" i="54"/>
  <c r="N118" i="54" s="1"/>
  <c r="N117" i="54"/>
  <c r="L117" i="54"/>
  <c r="N116" i="54"/>
  <c r="L116" i="54"/>
  <c r="L115" i="54"/>
  <c r="N115" i="54" s="1"/>
  <c r="L114" i="54"/>
  <c r="N114" i="54" s="1"/>
  <c r="L113" i="54"/>
  <c r="N113" i="54" s="1"/>
  <c r="L112" i="54"/>
  <c r="N112" i="54" s="1"/>
  <c r="L111" i="54"/>
  <c r="N111" i="54" s="1"/>
  <c r="L110" i="54"/>
  <c r="N110" i="54" s="1"/>
  <c r="N109" i="54"/>
  <c r="M109" i="54"/>
  <c r="L109" i="54"/>
  <c r="N108" i="54"/>
  <c r="L108" i="54"/>
  <c r="N107" i="54"/>
  <c r="L107" i="54"/>
  <c r="L106" i="54"/>
  <c r="N106" i="54" s="1"/>
  <c r="L105" i="54"/>
  <c r="N105" i="54" s="1"/>
  <c r="L104" i="54"/>
  <c r="N104" i="54" s="1"/>
  <c r="N103" i="54"/>
  <c r="L103" i="54"/>
  <c r="L102" i="54"/>
  <c r="N102" i="54" s="1"/>
  <c r="M101" i="54"/>
  <c r="L101" i="54"/>
  <c r="N101" i="54" s="1"/>
  <c r="L100" i="54"/>
  <c r="N100" i="54" s="1"/>
  <c r="L99" i="54"/>
  <c r="N99" i="54" s="1"/>
  <c r="M98" i="54"/>
  <c r="L98" i="54"/>
  <c r="N98" i="54" s="1"/>
  <c r="L97" i="54"/>
  <c r="N97" i="54" s="1"/>
  <c r="L96" i="54"/>
  <c r="N96" i="54" s="1"/>
  <c r="L95" i="54"/>
  <c r="N95" i="54" s="1"/>
  <c r="L94" i="54"/>
  <c r="N94" i="54" s="1"/>
  <c r="L93" i="54"/>
  <c r="N93" i="54" s="1"/>
  <c r="N92" i="54"/>
  <c r="L92" i="54"/>
  <c r="L91" i="54"/>
  <c r="L90" i="54"/>
  <c r="L89" i="54"/>
  <c r="L88" i="54"/>
  <c r="L87" i="54"/>
  <c r="L86" i="54"/>
  <c r="N86" i="54" s="1"/>
  <c r="L85" i="54"/>
  <c r="N85" i="54" s="1"/>
  <c r="N84" i="54"/>
  <c r="L84" i="54"/>
  <c r="N83" i="54"/>
  <c r="L83" i="54"/>
  <c r="N79" i="54"/>
  <c r="L79" i="54"/>
  <c r="N78" i="54"/>
  <c r="L78" i="54"/>
  <c r="L77" i="54"/>
  <c r="N77" i="54" s="1"/>
  <c r="L76" i="54"/>
  <c r="N76" i="54" s="1"/>
  <c r="L75" i="54"/>
  <c r="N75" i="54" s="1"/>
  <c r="L74" i="54"/>
  <c r="N74" i="54" s="1"/>
  <c r="N73" i="54"/>
  <c r="L73" i="54"/>
  <c r="N72" i="54"/>
  <c r="L72" i="54"/>
  <c r="L71" i="54"/>
  <c r="M70" i="54"/>
  <c r="L70" i="54"/>
  <c r="L69" i="54"/>
  <c r="N69" i="54" s="1"/>
  <c r="L68" i="54"/>
  <c r="N68" i="54" s="1"/>
  <c r="L67" i="54"/>
  <c r="N67" i="54" s="1"/>
  <c r="L66" i="54"/>
  <c r="N66" i="54" s="1"/>
  <c r="N65" i="54"/>
  <c r="L65" i="54"/>
  <c r="N64" i="54"/>
  <c r="L64" i="54"/>
  <c r="M63" i="54"/>
  <c r="L63" i="54"/>
  <c r="N63" i="54" s="1"/>
  <c r="N62" i="54"/>
  <c r="L62" i="54"/>
  <c r="N61" i="54"/>
  <c r="L61" i="54"/>
  <c r="L60" i="54"/>
  <c r="N60" i="54" s="1"/>
  <c r="L59" i="54"/>
  <c r="N59" i="54" s="1"/>
  <c r="N58" i="54"/>
  <c r="L58" i="54"/>
  <c r="N57" i="54"/>
  <c r="L57" i="54"/>
  <c r="L56" i="54"/>
  <c r="N56" i="54" s="1"/>
  <c r="L55" i="54"/>
  <c r="N55" i="54" s="1"/>
  <c r="N54" i="54"/>
  <c r="L54" i="54"/>
  <c r="N53" i="54"/>
  <c r="M53" i="54"/>
  <c r="L53" i="54"/>
  <c r="N52" i="54"/>
  <c r="L52" i="54"/>
  <c r="N51" i="54"/>
  <c r="L51" i="54"/>
  <c r="N50" i="54"/>
  <c r="M50" i="54"/>
  <c r="L50" i="54"/>
  <c r="N49" i="54"/>
  <c r="L49" i="54"/>
  <c r="N48" i="54"/>
  <c r="L48" i="54"/>
  <c r="N47" i="54"/>
  <c r="L47" i="54"/>
  <c r="L46" i="54"/>
  <c r="N46" i="54" s="1"/>
  <c r="L45" i="54"/>
  <c r="L41" i="54"/>
  <c r="N41" i="54" s="1"/>
  <c r="N40" i="54"/>
  <c r="L40" i="54"/>
  <c r="N39" i="54"/>
  <c r="L39" i="54"/>
  <c r="L38" i="54"/>
  <c r="N37" i="54"/>
  <c r="L37" i="54"/>
  <c r="L36" i="54"/>
  <c r="L35" i="54"/>
  <c r="N35" i="54" s="1"/>
  <c r="L34" i="54"/>
  <c r="L33" i="54"/>
  <c r="N33" i="54" s="1"/>
  <c r="L32" i="54"/>
  <c r="L31" i="54"/>
  <c r="K26" i="54"/>
  <c r="J26" i="54"/>
  <c r="I26" i="54"/>
  <c r="H26" i="54"/>
  <c r="G26" i="54"/>
  <c r="F26" i="54"/>
  <c r="E26" i="54"/>
  <c r="D26" i="54"/>
  <c r="C26" i="54"/>
  <c r="L25" i="54"/>
  <c r="N25" i="54" s="1"/>
  <c r="L24" i="54"/>
  <c r="N24" i="54" s="1"/>
  <c r="N22" i="54"/>
  <c r="L22" i="54"/>
  <c r="N21" i="54"/>
  <c r="L21" i="54"/>
  <c r="L20" i="54"/>
  <c r="N20" i="54" s="1"/>
  <c r="L19" i="54"/>
  <c r="N19" i="54" s="1"/>
  <c r="L18" i="54"/>
  <c r="N18" i="54" s="1"/>
  <c r="L15" i="54"/>
  <c r="N15" i="54" s="1"/>
  <c r="L13" i="54"/>
  <c r="N13" i="54" s="1"/>
  <c r="N12" i="54"/>
  <c r="L12" i="54"/>
  <c r="L11" i="54"/>
  <c r="M26" i="54"/>
  <c r="O10" i="54" s="1"/>
  <c r="L10" i="54"/>
  <c r="N10" i="54" s="1"/>
  <c r="M53" i="53"/>
  <c r="C168" i="57" l="1"/>
  <c r="O117" i="56"/>
  <c r="O109" i="56"/>
  <c r="O60" i="56"/>
  <c r="O87" i="56"/>
  <c r="O88" i="56"/>
  <c r="O31" i="56"/>
  <c r="N26" i="56"/>
  <c r="C150" i="56"/>
  <c r="C152" i="56" s="1"/>
  <c r="O22" i="56"/>
  <c r="O13" i="56"/>
  <c r="O21" i="56"/>
  <c r="O18" i="56"/>
  <c r="O20" i="56"/>
  <c r="O24" i="56"/>
  <c r="O19" i="56"/>
  <c r="O12" i="56"/>
  <c r="O10" i="56"/>
  <c r="O25" i="56"/>
  <c r="C151" i="56"/>
  <c r="O130" i="56"/>
  <c r="O126" i="56"/>
  <c r="O115" i="56"/>
  <c r="O106" i="56"/>
  <c r="O102" i="56"/>
  <c r="O86" i="56"/>
  <c r="O77" i="56"/>
  <c r="O69" i="56"/>
  <c r="O59" i="56"/>
  <c r="O41" i="56"/>
  <c r="O137" i="56"/>
  <c r="O136" i="56"/>
  <c r="O135" i="56"/>
  <c r="O128" i="56"/>
  <c r="O124" i="56"/>
  <c r="O111" i="56"/>
  <c r="O110" i="56"/>
  <c r="O104" i="56"/>
  <c r="O94" i="56"/>
  <c r="O93" i="56"/>
  <c r="O84" i="56"/>
  <c r="O73" i="56"/>
  <c r="O65" i="56"/>
  <c r="O57" i="56"/>
  <c r="O134" i="56"/>
  <c r="O127" i="56"/>
  <c r="O116" i="56"/>
  <c r="O107" i="56"/>
  <c r="O103" i="56"/>
  <c r="O92" i="56"/>
  <c r="O78" i="56"/>
  <c r="O72" i="56"/>
  <c r="O64" i="56"/>
  <c r="O61" i="56"/>
  <c r="O56" i="56"/>
  <c r="O47" i="56"/>
  <c r="O35" i="56"/>
  <c r="O112" i="56"/>
  <c r="O100" i="56"/>
  <c r="O96" i="56"/>
  <c r="O74" i="56"/>
  <c r="O54" i="56"/>
  <c r="O39" i="56"/>
  <c r="O129" i="56"/>
  <c r="O98" i="56"/>
  <c r="O99" i="56"/>
  <c r="O95" i="56"/>
  <c r="O85" i="56"/>
  <c r="O58" i="56"/>
  <c r="O49" i="56"/>
  <c r="O125" i="56"/>
  <c r="O113" i="56"/>
  <c r="O101" i="56"/>
  <c r="O97" i="56"/>
  <c r="O75" i="56"/>
  <c r="O66" i="56"/>
  <c r="O40" i="56"/>
  <c r="O114" i="56"/>
  <c r="O105" i="56"/>
  <c r="O76" i="56"/>
  <c r="O67" i="56"/>
  <c r="O68" i="56"/>
  <c r="O53" i="56"/>
  <c r="O52" i="56"/>
  <c r="O51" i="56"/>
  <c r="O50" i="56"/>
  <c r="O48" i="56"/>
  <c r="O79" i="56"/>
  <c r="O34" i="56"/>
  <c r="O118" i="56"/>
  <c r="O91" i="56"/>
  <c r="O38" i="56"/>
  <c r="O108" i="56"/>
  <c r="O90" i="56"/>
  <c r="O119" i="56"/>
  <c r="O45" i="56"/>
  <c r="O83" i="56"/>
  <c r="O46" i="56"/>
  <c r="O32" i="56"/>
  <c r="O89" i="56"/>
  <c r="O70" i="56"/>
  <c r="O33" i="56"/>
  <c r="N138" i="56"/>
  <c r="O71" i="56"/>
  <c r="O37" i="56"/>
  <c r="O135" i="55"/>
  <c r="O128" i="55"/>
  <c r="O124" i="55"/>
  <c r="O110" i="55"/>
  <c r="O104" i="55"/>
  <c r="O93" i="55"/>
  <c r="O84" i="55"/>
  <c r="O73" i="55"/>
  <c r="O65" i="55"/>
  <c r="O57" i="55"/>
  <c r="O48" i="55"/>
  <c r="O39" i="55"/>
  <c r="C151" i="55"/>
  <c r="O129" i="55"/>
  <c r="O125" i="55"/>
  <c r="O112" i="55"/>
  <c r="O105" i="55"/>
  <c r="O95" i="55"/>
  <c r="O85" i="55"/>
  <c r="O74" i="55"/>
  <c r="O116" i="55"/>
  <c r="O109" i="55"/>
  <c r="O106" i="55"/>
  <c r="O102" i="55"/>
  <c r="O91" i="55"/>
  <c r="O90" i="55"/>
  <c r="O89" i="55"/>
  <c r="O88" i="55"/>
  <c r="O87" i="55"/>
  <c r="O86" i="55"/>
  <c r="O78" i="55"/>
  <c r="O71" i="55"/>
  <c r="O70" i="55"/>
  <c r="O69" i="55"/>
  <c r="O54" i="55"/>
  <c r="O47" i="55"/>
  <c r="O130" i="55"/>
  <c r="O126" i="55"/>
  <c r="O117" i="55"/>
  <c r="O79" i="55"/>
  <c r="O66" i="55"/>
  <c r="O61" i="55"/>
  <c r="O40" i="55"/>
  <c r="O34" i="55"/>
  <c r="O33" i="55"/>
  <c r="O32" i="55"/>
  <c r="O31" i="55"/>
  <c r="O118" i="55"/>
  <c r="O115" i="55"/>
  <c r="O107" i="55"/>
  <c r="O103" i="55"/>
  <c r="O92" i="55"/>
  <c r="O83" i="55"/>
  <c r="O77" i="55"/>
  <c r="O72" i="55"/>
  <c r="O64" i="55"/>
  <c r="O58" i="55"/>
  <c r="O46" i="55"/>
  <c r="O45" i="55"/>
  <c r="O41" i="55"/>
  <c r="O134" i="55"/>
  <c r="O127" i="55"/>
  <c r="O119" i="55"/>
  <c r="O108" i="55"/>
  <c r="O60" i="55"/>
  <c r="O59" i="55"/>
  <c r="O56" i="55"/>
  <c r="O35" i="55"/>
  <c r="O114" i="55"/>
  <c r="O76" i="55"/>
  <c r="O67" i="55"/>
  <c r="O49" i="55"/>
  <c r="O113" i="55"/>
  <c r="O22" i="55"/>
  <c r="O25" i="55"/>
  <c r="O21" i="55"/>
  <c r="O13" i="55"/>
  <c r="C150" i="55"/>
  <c r="C152" i="55" s="1"/>
  <c r="O20" i="55"/>
  <c r="O19" i="55"/>
  <c r="O24" i="55"/>
  <c r="O100" i="55"/>
  <c r="O52" i="55"/>
  <c r="O38" i="55"/>
  <c r="O101" i="55"/>
  <c r="O111" i="55"/>
  <c r="O75" i="55"/>
  <c r="N26" i="55"/>
  <c r="O99" i="55"/>
  <c r="O96" i="55"/>
  <c r="O37" i="55"/>
  <c r="O15" i="55"/>
  <c r="N26" i="54"/>
  <c r="O15" i="54"/>
  <c r="N31" i="54"/>
  <c r="L138" i="54"/>
  <c r="N90" i="54"/>
  <c r="O20" i="54"/>
  <c r="M138" i="54"/>
  <c r="O36" i="54" s="1"/>
  <c r="L26" i="54"/>
  <c r="O25" i="54"/>
  <c r="O19" i="54"/>
  <c r="C150" i="54"/>
  <c r="O21" i="54"/>
  <c r="O13" i="54"/>
  <c r="O24" i="54"/>
  <c r="N36" i="54"/>
  <c r="N71" i="54"/>
  <c r="N88" i="54"/>
  <c r="O12" i="54"/>
  <c r="O18" i="54"/>
  <c r="O22" i="54"/>
  <c r="N32" i="54"/>
  <c r="N34" i="54"/>
  <c r="N38" i="54"/>
  <c r="N45" i="54"/>
  <c r="N70" i="54"/>
  <c r="N87" i="54"/>
  <c r="N89" i="54"/>
  <c r="N91" i="54"/>
  <c r="C170" i="56" l="1"/>
  <c r="C168" i="56"/>
  <c r="C170" i="55"/>
  <c r="C168" i="55"/>
  <c r="O99" i="54"/>
  <c r="O76" i="54"/>
  <c r="O89" i="54"/>
  <c r="O96" i="54"/>
  <c r="O71" i="54"/>
  <c r="O67" i="54"/>
  <c r="O46" i="54"/>
  <c r="O31" i="54"/>
  <c r="O45" i="54"/>
  <c r="O70" i="54"/>
  <c r="O88" i="54"/>
  <c r="O114" i="54"/>
  <c r="O136" i="54"/>
  <c r="O38" i="54"/>
  <c r="O135" i="54"/>
  <c r="O128" i="54"/>
  <c r="O124" i="54"/>
  <c r="O112" i="54"/>
  <c r="O105" i="54"/>
  <c r="O95" i="54"/>
  <c r="O85" i="54"/>
  <c r="O74" i="54"/>
  <c r="O66" i="54"/>
  <c r="O59" i="54"/>
  <c r="O41" i="54"/>
  <c r="O130" i="54"/>
  <c r="O116" i="54"/>
  <c r="O107" i="54"/>
  <c r="O72" i="54"/>
  <c r="C151" i="54"/>
  <c r="C152" i="54" s="1"/>
  <c r="O129" i="54"/>
  <c r="O125" i="54"/>
  <c r="O115" i="54"/>
  <c r="O106" i="54"/>
  <c r="O102" i="54"/>
  <c r="O86" i="54"/>
  <c r="O77" i="54"/>
  <c r="O69" i="54"/>
  <c r="O60" i="54"/>
  <c r="O56" i="54"/>
  <c r="O47" i="54"/>
  <c r="O35" i="54"/>
  <c r="O126" i="54"/>
  <c r="O117" i="54"/>
  <c r="O109" i="54"/>
  <c r="O108" i="54"/>
  <c r="O103" i="54"/>
  <c r="O92" i="54"/>
  <c r="O83" i="54"/>
  <c r="O79" i="54"/>
  <c r="O78" i="54"/>
  <c r="O64" i="54"/>
  <c r="O134" i="54"/>
  <c r="O119" i="54"/>
  <c r="O111" i="54"/>
  <c r="O93" i="54"/>
  <c r="O84" i="54"/>
  <c r="O65" i="54"/>
  <c r="O53" i="54"/>
  <c r="O52" i="54"/>
  <c r="O51" i="54"/>
  <c r="O50" i="54"/>
  <c r="O49" i="54"/>
  <c r="O48" i="54"/>
  <c r="O127" i="54"/>
  <c r="O110" i="54"/>
  <c r="O58" i="54"/>
  <c r="O94" i="54"/>
  <c r="O73" i="54"/>
  <c r="O61" i="54"/>
  <c r="O54" i="54"/>
  <c r="O39" i="54"/>
  <c r="O57" i="54"/>
  <c r="O40" i="54"/>
  <c r="O118" i="54"/>
  <c r="O104" i="54"/>
  <c r="O68" i="54"/>
  <c r="O97" i="54"/>
  <c r="O37" i="54"/>
  <c r="O137" i="54"/>
  <c r="O90" i="54"/>
  <c r="O101" i="54"/>
  <c r="O91" i="54"/>
  <c r="O87" i="54"/>
  <c r="O98" i="54"/>
  <c r="O75" i="54"/>
  <c r="O34" i="54"/>
  <c r="O113" i="54"/>
  <c r="O33" i="54"/>
  <c r="O100" i="54"/>
  <c r="N138" i="54"/>
  <c r="O32" i="54"/>
  <c r="C170" i="54" l="1"/>
  <c r="C168" i="54"/>
  <c r="C158" i="53" l="1"/>
  <c r="N114" i="53" l="1"/>
  <c r="M101" i="53"/>
  <c r="N99" i="53"/>
  <c r="N96" i="53"/>
  <c r="N89" i="53"/>
  <c r="M88" i="53"/>
  <c r="N68" i="53"/>
  <c r="N55" i="53"/>
  <c r="N37" i="53"/>
  <c r="N36" i="53"/>
  <c r="N32" i="53"/>
  <c r="M20" i="53"/>
  <c r="M18" i="53"/>
  <c r="M15" i="53"/>
  <c r="M12" i="53"/>
  <c r="M10" i="53"/>
  <c r="C165" i="53"/>
  <c r="C146" i="53"/>
  <c r="K138" i="53"/>
  <c r="J138" i="53"/>
  <c r="I138" i="53"/>
  <c r="H138" i="53"/>
  <c r="G138" i="53"/>
  <c r="F138" i="53"/>
  <c r="E138" i="53"/>
  <c r="D138" i="53"/>
  <c r="C138" i="53"/>
  <c r="N137" i="53"/>
  <c r="M137" i="53"/>
  <c r="L137" i="53"/>
  <c r="N136" i="53"/>
  <c r="L136" i="53"/>
  <c r="N135" i="53"/>
  <c r="L135" i="53"/>
  <c r="L134" i="53"/>
  <c r="N134" i="53" s="1"/>
  <c r="L130" i="53"/>
  <c r="N130" i="53" s="1"/>
  <c r="L129" i="53"/>
  <c r="N129" i="53" s="1"/>
  <c r="N128" i="53"/>
  <c r="L128" i="53"/>
  <c r="L127" i="53"/>
  <c r="N127" i="53" s="1"/>
  <c r="L126" i="53"/>
  <c r="N126" i="53" s="1"/>
  <c r="L125" i="53"/>
  <c r="N125" i="53" s="1"/>
  <c r="N124" i="53"/>
  <c r="L124" i="53"/>
  <c r="L119" i="53"/>
  <c r="L118" i="53"/>
  <c r="N118" i="53" s="1"/>
  <c r="L117" i="53"/>
  <c r="L116" i="53"/>
  <c r="N116" i="53" s="1"/>
  <c r="L115" i="53"/>
  <c r="N115" i="53" s="1"/>
  <c r="L114" i="53"/>
  <c r="N113" i="53"/>
  <c r="L113" i="53"/>
  <c r="N112" i="53"/>
  <c r="L112" i="53"/>
  <c r="N111" i="53"/>
  <c r="L111" i="53"/>
  <c r="L110" i="53"/>
  <c r="N110" i="53" s="1"/>
  <c r="L109" i="53"/>
  <c r="N109" i="53" s="1"/>
  <c r="L108" i="53"/>
  <c r="L107" i="53"/>
  <c r="N107" i="53" s="1"/>
  <c r="L106" i="53"/>
  <c r="N106" i="53" s="1"/>
  <c r="N105" i="53"/>
  <c r="L105" i="53"/>
  <c r="L104" i="53"/>
  <c r="N104" i="53" s="1"/>
  <c r="L103" i="53"/>
  <c r="N103" i="53" s="1"/>
  <c r="L102" i="53"/>
  <c r="N102" i="53" s="1"/>
  <c r="N101" i="53"/>
  <c r="L101" i="53"/>
  <c r="L100" i="53"/>
  <c r="L99" i="53"/>
  <c r="L98" i="53"/>
  <c r="N97" i="53"/>
  <c r="L97" i="53"/>
  <c r="L96" i="53"/>
  <c r="L95" i="53"/>
  <c r="N95" i="53" s="1"/>
  <c r="M94" i="53"/>
  <c r="L94" i="53"/>
  <c r="L93" i="53"/>
  <c r="N93" i="53" s="1"/>
  <c r="L92" i="53"/>
  <c r="N92" i="53" s="1"/>
  <c r="N91" i="53"/>
  <c r="L91" i="53"/>
  <c r="N90" i="53"/>
  <c r="L90" i="53"/>
  <c r="L89" i="53"/>
  <c r="N88" i="53"/>
  <c r="L88" i="53"/>
  <c r="N87" i="53"/>
  <c r="L87" i="53"/>
  <c r="N86" i="53"/>
  <c r="L86" i="53"/>
  <c r="N85" i="53"/>
  <c r="L85" i="53"/>
  <c r="L84" i="53"/>
  <c r="N84" i="53" s="1"/>
  <c r="L83" i="53"/>
  <c r="L79" i="53"/>
  <c r="L78" i="53"/>
  <c r="N78" i="53" s="1"/>
  <c r="N77" i="53"/>
  <c r="L77" i="53"/>
  <c r="L76" i="53"/>
  <c r="L75" i="53"/>
  <c r="N74" i="53"/>
  <c r="L74" i="53"/>
  <c r="L73" i="53"/>
  <c r="N73" i="53" s="1"/>
  <c r="L72" i="53"/>
  <c r="N72" i="53" s="1"/>
  <c r="N71" i="53"/>
  <c r="L71" i="53"/>
  <c r="N70" i="53"/>
  <c r="M70" i="53"/>
  <c r="L70" i="53"/>
  <c r="N69" i="53"/>
  <c r="L69" i="53"/>
  <c r="L68" i="53"/>
  <c r="L67" i="53"/>
  <c r="L66" i="53"/>
  <c r="N66" i="53" s="1"/>
  <c r="N65" i="53"/>
  <c r="L65" i="53"/>
  <c r="L64" i="53"/>
  <c r="N64" i="53" s="1"/>
  <c r="N63" i="53"/>
  <c r="L63" i="53"/>
  <c r="L62" i="53"/>
  <c r="N62" i="53" s="1"/>
  <c r="L61" i="53"/>
  <c r="N61" i="53" s="1"/>
  <c r="N60" i="53"/>
  <c r="L60" i="53"/>
  <c r="L59" i="53"/>
  <c r="N59" i="53" s="1"/>
  <c r="L58" i="53"/>
  <c r="N58" i="53" s="1"/>
  <c r="L57" i="53"/>
  <c r="N57" i="53" s="1"/>
  <c r="N56" i="53"/>
  <c r="L56" i="53"/>
  <c r="L55" i="53"/>
  <c r="L54" i="53"/>
  <c r="N54" i="53" s="1"/>
  <c r="L53" i="53"/>
  <c r="N53" i="53" s="1"/>
  <c r="L52" i="53"/>
  <c r="L51" i="53"/>
  <c r="L50" i="53"/>
  <c r="N50" i="53" s="1"/>
  <c r="L49" i="53"/>
  <c r="N49" i="53" s="1"/>
  <c r="N48" i="53"/>
  <c r="L48" i="53"/>
  <c r="N47" i="53"/>
  <c r="L47" i="53"/>
  <c r="L46" i="53"/>
  <c r="L45" i="53"/>
  <c r="N41" i="53"/>
  <c r="L41" i="53"/>
  <c r="L40" i="53"/>
  <c r="N40" i="53" s="1"/>
  <c r="N39" i="53"/>
  <c r="L39" i="53"/>
  <c r="N38" i="53"/>
  <c r="L38" i="53"/>
  <c r="L37" i="53"/>
  <c r="L36" i="53"/>
  <c r="N35" i="53"/>
  <c r="L35" i="53"/>
  <c r="L34" i="53"/>
  <c r="N34" i="53" s="1"/>
  <c r="L33" i="53"/>
  <c r="L32" i="53"/>
  <c r="L31" i="53"/>
  <c r="K26" i="53"/>
  <c r="J26" i="53"/>
  <c r="I26" i="53"/>
  <c r="H26" i="53"/>
  <c r="G26" i="53"/>
  <c r="F26" i="53"/>
  <c r="E26" i="53"/>
  <c r="D26" i="53"/>
  <c r="C26" i="53"/>
  <c r="L25" i="53"/>
  <c r="N25" i="53" s="1"/>
  <c r="L24" i="53"/>
  <c r="N24" i="53" s="1"/>
  <c r="N22" i="53"/>
  <c r="L22" i="53"/>
  <c r="L21" i="53"/>
  <c r="N21" i="53" s="1"/>
  <c r="N20" i="53"/>
  <c r="L20" i="53"/>
  <c r="L19" i="53"/>
  <c r="N19" i="53" s="1"/>
  <c r="L18" i="53"/>
  <c r="N18" i="53" s="1"/>
  <c r="L15" i="53"/>
  <c r="L13" i="53"/>
  <c r="N13" i="53" s="1"/>
  <c r="L12" i="53"/>
  <c r="N12" i="53" s="1"/>
  <c r="L11" i="53"/>
  <c r="L10" i="53"/>
  <c r="C160" i="52"/>
  <c r="M63" i="52"/>
  <c r="M119" i="52"/>
  <c r="C158" i="52"/>
  <c r="C157" i="52"/>
  <c r="M137" i="52"/>
  <c r="N108" i="53" l="1"/>
  <c r="N83" i="53"/>
  <c r="N79" i="53"/>
  <c r="N52" i="53"/>
  <c r="N46" i="53"/>
  <c r="N45" i="53"/>
  <c r="N33" i="53"/>
  <c r="N10" i="53"/>
  <c r="N31" i="53"/>
  <c r="M26" i="53"/>
  <c r="O15" i="53" s="1"/>
  <c r="M138" i="53"/>
  <c r="O53" i="53" s="1"/>
  <c r="N15" i="53"/>
  <c r="L138" i="53"/>
  <c r="N51" i="53"/>
  <c r="N75" i="53"/>
  <c r="N94" i="53"/>
  <c r="N98" i="53"/>
  <c r="N117" i="53"/>
  <c r="L26" i="53"/>
  <c r="N67" i="53"/>
  <c r="N100" i="53"/>
  <c r="N119" i="53"/>
  <c r="N76" i="53"/>
  <c r="M136" i="52"/>
  <c r="M117" i="52"/>
  <c r="M114" i="52"/>
  <c r="M113" i="52"/>
  <c r="M109" i="52"/>
  <c r="M108" i="52"/>
  <c r="M99" i="52"/>
  <c r="M98" i="52"/>
  <c r="M97" i="52"/>
  <c r="M96" i="52"/>
  <c r="M91" i="52"/>
  <c r="M90" i="52"/>
  <c r="M89" i="52"/>
  <c r="M88" i="52"/>
  <c r="M87" i="52"/>
  <c r="M83" i="52"/>
  <c r="M79" i="52"/>
  <c r="M76" i="52"/>
  <c r="N26" i="53" l="1"/>
  <c r="O97" i="53"/>
  <c r="O119" i="53"/>
  <c r="O32" i="53"/>
  <c r="O98" i="53"/>
  <c r="C150" i="53"/>
  <c r="O25" i="53"/>
  <c r="O19" i="53"/>
  <c r="O21" i="53"/>
  <c r="O22" i="53"/>
  <c r="O13" i="53"/>
  <c r="O24" i="53"/>
  <c r="O18" i="53"/>
  <c r="O12" i="53"/>
  <c r="O94" i="53"/>
  <c r="O96" i="53"/>
  <c r="O109" i="53"/>
  <c r="O67" i="53"/>
  <c r="O130" i="53"/>
  <c r="O126" i="53"/>
  <c r="O116" i="53"/>
  <c r="O107" i="53"/>
  <c r="O103" i="53"/>
  <c r="O93" i="53"/>
  <c r="O84" i="53"/>
  <c r="O73" i="53"/>
  <c r="O65" i="53"/>
  <c r="O58" i="53"/>
  <c r="O54" i="53"/>
  <c r="O41" i="53"/>
  <c r="O134" i="53"/>
  <c r="O127" i="53"/>
  <c r="O118" i="53"/>
  <c r="O110" i="53"/>
  <c r="O104" i="53"/>
  <c r="O95" i="53"/>
  <c r="O85" i="53"/>
  <c r="O74" i="53"/>
  <c r="O66" i="53"/>
  <c r="O106" i="53"/>
  <c r="O79" i="53"/>
  <c r="O59" i="53"/>
  <c r="C151" i="53"/>
  <c r="O115" i="53"/>
  <c r="O92" i="53"/>
  <c r="O83" i="53"/>
  <c r="O77" i="53"/>
  <c r="O72" i="53"/>
  <c r="O47" i="53"/>
  <c r="O37" i="53"/>
  <c r="O35" i="53"/>
  <c r="O137" i="53"/>
  <c r="O136" i="53"/>
  <c r="O135" i="53"/>
  <c r="O128" i="53"/>
  <c r="O105" i="53"/>
  <c r="O52" i="53"/>
  <c r="O49" i="53"/>
  <c r="O39" i="53"/>
  <c r="O114" i="53"/>
  <c r="O113" i="53"/>
  <c r="O112" i="53"/>
  <c r="O91" i="53"/>
  <c r="O90" i="53"/>
  <c r="O89" i="53"/>
  <c r="O88" i="53"/>
  <c r="O87" i="53"/>
  <c r="O86" i="53"/>
  <c r="O78" i="53"/>
  <c r="O71" i="53"/>
  <c r="O70" i="53"/>
  <c r="O69" i="53"/>
  <c r="O61" i="53"/>
  <c r="O56" i="53"/>
  <c r="O129" i="53"/>
  <c r="O125" i="53"/>
  <c r="O102" i="53"/>
  <c r="O64" i="53"/>
  <c r="O50" i="53"/>
  <c r="O40" i="53"/>
  <c r="O60" i="53"/>
  <c r="O57" i="53"/>
  <c r="O38" i="53"/>
  <c r="O36" i="53"/>
  <c r="O124" i="53"/>
  <c r="O101" i="53"/>
  <c r="O48" i="53"/>
  <c r="O33" i="53"/>
  <c r="O34" i="53"/>
  <c r="O100" i="53"/>
  <c r="O99" i="53"/>
  <c r="O111" i="53"/>
  <c r="N138" i="53"/>
  <c r="O10" i="53"/>
  <c r="O75" i="53"/>
  <c r="O108" i="53"/>
  <c r="O46" i="53"/>
  <c r="O20" i="53"/>
  <c r="O68" i="53"/>
  <c r="O45" i="53"/>
  <c r="O76" i="53"/>
  <c r="O117" i="53"/>
  <c r="O31" i="53"/>
  <c r="O51" i="53"/>
  <c r="M75" i="52"/>
  <c r="M71" i="52"/>
  <c r="M68" i="52"/>
  <c r="M67" i="52"/>
  <c r="M55" i="52"/>
  <c r="M53" i="52"/>
  <c r="M51" i="52"/>
  <c r="M49" i="52"/>
  <c r="M46" i="52"/>
  <c r="M45" i="52"/>
  <c r="M38" i="52"/>
  <c r="M37" i="52"/>
  <c r="M36" i="52"/>
  <c r="M34" i="52"/>
  <c r="M33" i="52"/>
  <c r="M32" i="52"/>
  <c r="M31" i="52"/>
  <c r="M20" i="52"/>
  <c r="M18" i="52"/>
  <c r="M15" i="52"/>
  <c r="M12" i="52"/>
  <c r="M10" i="52"/>
  <c r="C165" i="52"/>
  <c r="C146" i="52"/>
  <c r="K138" i="52"/>
  <c r="J138" i="52"/>
  <c r="I138" i="52"/>
  <c r="H138" i="52"/>
  <c r="G138" i="52"/>
  <c r="F138" i="52"/>
  <c r="E138" i="52"/>
  <c r="D138" i="52"/>
  <c r="C138" i="52"/>
  <c r="L137" i="52"/>
  <c r="N137" i="52" s="1"/>
  <c r="L136" i="52"/>
  <c r="N136" i="52" s="1"/>
  <c r="L135" i="52"/>
  <c r="N135" i="52" s="1"/>
  <c r="L134" i="52"/>
  <c r="N134" i="52" s="1"/>
  <c r="L130" i="52"/>
  <c r="N130" i="52" s="1"/>
  <c r="L129" i="52"/>
  <c r="N129" i="52" s="1"/>
  <c r="L128" i="52"/>
  <c r="N128" i="52" s="1"/>
  <c r="L127" i="52"/>
  <c r="N127" i="52" s="1"/>
  <c r="L126" i="52"/>
  <c r="N126" i="52" s="1"/>
  <c r="L125" i="52"/>
  <c r="N125" i="52" s="1"/>
  <c r="L124" i="52"/>
  <c r="N124" i="52" s="1"/>
  <c r="L119" i="52"/>
  <c r="N119" i="52" s="1"/>
  <c r="L118" i="52"/>
  <c r="N118" i="52" s="1"/>
  <c r="L117" i="52"/>
  <c r="L116" i="52"/>
  <c r="N116" i="52" s="1"/>
  <c r="L115" i="52"/>
  <c r="N115" i="52" s="1"/>
  <c r="L114" i="52"/>
  <c r="N114" i="52" s="1"/>
  <c r="L113" i="52"/>
  <c r="N113" i="52" s="1"/>
  <c r="L112" i="52"/>
  <c r="N112" i="52" s="1"/>
  <c r="M111" i="52"/>
  <c r="L111" i="52"/>
  <c r="N111" i="52" s="1"/>
  <c r="L110" i="52"/>
  <c r="N110" i="52" s="1"/>
  <c r="L109" i="52"/>
  <c r="N109" i="52" s="1"/>
  <c r="L108" i="52"/>
  <c r="N108" i="52" s="1"/>
  <c r="L107" i="52"/>
  <c r="N107" i="52" s="1"/>
  <c r="L106" i="52"/>
  <c r="N106" i="52" s="1"/>
  <c r="L105" i="52"/>
  <c r="N105" i="52" s="1"/>
  <c r="L104" i="52"/>
  <c r="N104" i="52" s="1"/>
  <c r="L103" i="52"/>
  <c r="N103" i="52" s="1"/>
  <c r="L102" i="52"/>
  <c r="N102" i="52" s="1"/>
  <c r="N101" i="52"/>
  <c r="L101" i="52"/>
  <c r="M100" i="52"/>
  <c r="L100" i="52"/>
  <c r="L99" i="52"/>
  <c r="L98" i="52"/>
  <c r="L97" i="52"/>
  <c r="L96" i="52"/>
  <c r="L95" i="52"/>
  <c r="N95" i="52" s="1"/>
  <c r="M94" i="52"/>
  <c r="L94" i="52"/>
  <c r="L93" i="52"/>
  <c r="N93" i="52" s="1"/>
  <c r="N92" i="52"/>
  <c r="L92" i="52"/>
  <c r="L91" i="52"/>
  <c r="N91" i="52" s="1"/>
  <c r="L90" i="52"/>
  <c r="N90" i="52" s="1"/>
  <c r="L89" i="52"/>
  <c r="N89" i="52" s="1"/>
  <c r="N88" i="52"/>
  <c r="L88" i="52"/>
  <c r="L87" i="52"/>
  <c r="N87" i="52" s="1"/>
  <c r="L86" i="52"/>
  <c r="N86" i="52" s="1"/>
  <c r="L85" i="52"/>
  <c r="N85" i="52" s="1"/>
  <c r="L84" i="52"/>
  <c r="N84" i="52" s="1"/>
  <c r="N83" i="52"/>
  <c r="L83" i="52"/>
  <c r="L79" i="52"/>
  <c r="N79" i="52" s="1"/>
  <c r="L78" i="52"/>
  <c r="N78" i="52" s="1"/>
  <c r="L77" i="52"/>
  <c r="N77" i="52" s="1"/>
  <c r="L76" i="52"/>
  <c r="N76" i="52" s="1"/>
  <c r="L75" i="52"/>
  <c r="N75" i="52" s="1"/>
  <c r="L74" i="52"/>
  <c r="N74" i="52" s="1"/>
  <c r="L73" i="52"/>
  <c r="N73" i="52" s="1"/>
  <c r="L72" i="52"/>
  <c r="N72" i="52" s="1"/>
  <c r="L71" i="52"/>
  <c r="N71" i="52" s="1"/>
  <c r="M70" i="52"/>
  <c r="L70" i="52"/>
  <c r="L69" i="52"/>
  <c r="N69" i="52" s="1"/>
  <c r="L68" i="52"/>
  <c r="L67" i="52"/>
  <c r="N67" i="52" s="1"/>
  <c r="L66" i="52"/>
  <c r="N66" i="52" s="1"/>
  <c r="N65" i="52"/>
  <c r="L65" i="52"/>
  <c r="L64" i="52"/>
  <c r="N64" i="52" s="1"/>
  <c r="L63" i="52"/>
  <c r="N63" i="52" s="1"/>
  <c r="N62" i="52"/>
  <c r="L62" i="52"/>
  <c r="L61" i="52"/>
  <c r="N61" i="52" s="1"/>
  <c r="L60" i="52"/>
  <c r="N60" i="52" s="1"/>
  <c r="N59" i="52"/>
  <c r="L59" i="52"/>
  <c r="L58" i="52"/>
  <c r="N58" i="52" s="1"/>
  <c r="L57" i="52"/>
  <c r="N57" i="52" s="1"/>
  <c r="L56" i="52"/>
  <c r="N56" i="52" s="1"/>
  <c r="L55" i="52"/>
  <c r="N55" i="52" s="1"/>
  <c r="L54" i="52"/>
  <c r="N54" i="52" s="1"/>
  <c r="L53" i="52"/>
  <c r="M52" i="52"/>
  <c r="L52" i="52"/>
  <c r="L51" i="52"/>
  <c r="L50" i="52"/>
  <c r="N50" i="52" s="1"/>
  <c r="L49" i="52"/>
  <c r="L48" i="52"/>
  <c r="N48" i="52" s="1"/>
  <c r="L47" i="52"/>
  <c r="N47" i="52" s="1"/>
  <c r="N46" i="52"/>
  <c r="L46" i="52"/>
  <c r="L45" i="52"/>
  <c r="N45" i="52" s="1"/>
  <c r="L41" i="52"/>
  <c r="N41" i="52" s="1"/>
  <c r="L40" i="52"/>
  <c r="N40" i="52" s="1"/>
  <c r="L39" i="52"/>
  <c r="N39" i="52" s="1"/>
  <c r="L38" i="52"/>
  <c r="L37" i="52"/>
  <c r="N37" i="52" s="1"/>
  <c r="L36" i="52"/>
  <c r="N36" i="52" s="1"/>
  <c r="L35" i="52"/>
  <c r="N35" i="52" s="1"/>
  <c r="L34" i="52"/>
  <c r="N34" i="52" s="1"/>
  <c r="L33" i="52"/>
  <c r="L32" i="52"/>
  <c r="L31" i="52"/>
  <c r="K26" i="52"/>
  <c r="J26" i="52"/>
  <c r="I26" i="52"/>
  <c r="H26" i="52"/>
  <c r="G26" i="52"/>
  <c r="F26" i="52"/>
  <c r="E26" i="52"/>
  <c r="D26" i="52"/>
  <c r="C26" i="52"/>
  <c r="L25" i="52"/>
  <c r="N25" i="52" s="1"/>
  <c r="L24" i="52"/>
  <c r="N24" i="52" s="1"/>
  <c r="L22" i="52"/>
  <c r="N22" i="52" s="1"/>
  <c r="L21" i="52"/>
  <c r="N21" i="52" s="1"/>
  <c r="L20" i="52"/>
  <c r="L19" i="52"/>
  <c r="N19" i="52" s="1"/>
  <c r="N18" i="52"/>
  <c r="L18" i="52"/>
  <c r="L15" i="52"/>
  <c r="L13" i="52"/>
  <c r="N13" i="52" s="1"/>
  <c r="L12" i="52"/>
  <c r="L11" i="52"/>
  <c r="L10" i="52"/>
  <c r="C157" i="51"/>
  <c r="M10" i="50"/>
  <c r="M12" i="50"/>
  <c r="M15" i="50"/>
  <c r="M18" i="50"/>
  <c r="M31" i="50"/>
  <c r="M32" i="50"/>
  <c r="M33" i="50"/>
  <c r="M34" i="50"/>
  <c r="M36" i="50"/>
  <c r="M37" i="50"/>
  <c r="M38" i="50"/>
  <c r="M45" i="50"/>
  <c r="M46" i="50"/>
  <c r="M49" i="50"/>
  <c r="M52" i="50"/>
  <c r="M55" i="50"/>
  <c r="M67" i="50"/>
  <c r="M68" i="50"/>
  <c r="M71" i="50"/>
  <c r="M75" i="50"/>
  <c r="M76" i="50"/>
  <c r="M79" i="50"/>
  <c r="M83" i="50"/>
  <c r="M89" i="50"/>
  <c r="M90" i="50"/>
  <c r="M91" i="50"/>
  <c r="M96" i="50"/>
  <c r="M113" i="50"/>
  <c r="M119" i="50"/>
  <c r="M136" i="50"/>
  <c r="C163" i="51"/>
  <c r="C146" i="51"/>
  <c r="K138" i="51"/>
  <c r="J138" i="51"/>
  <c r="I138" i="51"/>
  <c r="H138" i="51"/>
  <c r="G138" i="51"/>
  <c r="F138" i="51"/>
  <c r="E138" i="51"/>
  <c r="D138" i="51"/>
  <c r="C138" i="51"/>
  <c r="N137" i="51"/>
  <c r="L137" i="51"/>
  <c r="M136" i="51"/>
  <c r="L136" i="51"/>
  <c r="L135" i="51"/>
  <c r="N135" i="51" s="1"/>
  <c r="L134" i="51"/>
  <c r="N134" i="51" s="1"/>
  <c r="L130" i="51"/>
  <c r="N130" i="51" s="1"/>
  <c r="L129" i="51"/>
  <c r="N129" i="51" s="1"/>
  <c r="L128" i="51"/>
  <c r="N128" i="51" s="1"/>
  <c r="L127" i="51"/>
  <c r="N127" i="51" s="1"/>
  <c r="L126" i="51"/>
  <c r="N126" i="51" s="1"/>
  <c r="N125" i="51"/>
  <c r="L125" i="51"/>
  <c r="L124" i="51"/>
  <c r="N124" i="51" s="1"/>
  <c r="M119" i="51"/>
  <c r="L119" i="51"/>
  <c r="N119" i="51" s="1"/>
  <c r="L118" i="51"/>
  <c r="N118" i="51" s="1"/>
  <c r="M117" i="51"/>
  <c r="L117" i="51"/>
  <c r="N117" i="51" s="1"/>
  <c r="L116" i="51"/>
  <c r="N116" i="51" s="1"/>
  <c r="N115" i="51"/>
  <c r="L115" i="51"/>
  <c r="M114" i="51"/>
  <c r="L114" i="51"/>
  <c r="M113" i="51"/>
  <c r="L113" i="51"/>
  <c r="L112" i="51"/>
  <c r="N112" i="51" s="1"/>
  <c r="M111" i="51"/>
  <c r="L111" i="51"/>
  <c r="L110" i="51"/>
  <c r="N110" i="51" s="1"/>
  <c r="M109" i="51"/>
  <c r="L109" i="51"/>
  <c r="N109" i="51" s="1"/>
  <c r="L108" i="51"/>
  <c r="N108" i="51" s="1"/>
  <c r="N107" i="51"/>
  <c r="L107" i="51"/>
  <c r="L106" i="51"/>
  <c r="N106" i="51" s="1"/>
  <c r="L105" i="51"/>
  <c r="N105" i="51" s="1"/>
  <c r="L104" i="51"/>
  <c r="N104" i="51" s="1"/>
  <c r="L103" i="51"/>
  <c r="N103" i="51" s="1"/>
  <c r="L102" i="51"/>
  <c r="N102" i="51" s="1"/>
  <c r="L101" i="51"/>
  <c r="N101" i="51" s="1"/>
  <c r="M100" i="51"/>
  <c r="L100" i="51"/>
  <c r="N100" i="51" s="1"/>
  <c r="M99" i="51"/>
  <c r="L99" i="51"/>
  <c r="N99" i="51" s="1"/>
  <c r="M98" i="51"/>
  <c r="L98" i="51"/>
  <c r="N98" i="51" s="1"/>
  <c r="M97" i="51"/>
  <c r="L97" i="51"/>
  <c r="N97" i="51" s="1"/>
  <c r="M96" i="51"/>
  <c r="L96" i="51"/>
  <c r="N96" i="51" s="1"/>
  <c r="L95" i="51"/>
  <c r="N95" i="51" s="1"/>
  <c r="M94" i="51"/>
  <c r="L94" i="51"/>
  <c r="N94" i="51" s="1"/>
  <c r="L93" i="51"/>
  <c r="N93" i="51" s="1"/>
  <c r="L92" i="51"/>
  <c r="N92" i="51" s="1"/>
  <c r="M91" i="51"/>
  <c r="L91" i="51"/>
  <c r="M90" i="51"/>
  <c r="L90" i="51"/>
  <c r="M89" i="51"/>
  <c r="L89" i="51"/>
  <c r="M88" i="51"/>
  <c r="L88" i="51"/>
  <c r="L87" i="51"/>
  <c r="N87" i="51" s="1"/>
  <c r="L86" i="51"/>
  <c r="N86" i="51" s="1"/>
  <c r="N85" i="51"/>
  <c r="L85" i="51"/>
  <c r="L84" i="51"/>
  <c r="N84" i="51" s="1"/>
  <c r="M83" i="51"/>
  <c r="L83" i="51"/>
  <c r="M79" i="51"/>
  <c r="L79" i="51"/>
  <c r="N79" i="51" s="1"/>
  <c r="L78" i="51"/>
  <c r="N78" i="51" s="1"/>
  <c r="L77" i="51"/>
  <c r="N77" i="51" s="1"/>
  <c r="M76" i="51"/>
  <c r="L76" i="51"/>
  <c r="N76" i="51" s="1"/>
  <c r="M75" i="51"/>
  <c r="L75" i="51"/>
  <c r="N75" i="51" s="1"/>
  <c r="L74" i="51"/>
  <c r="N74" i="51" s="1"/>
  <c r="L73" i="51"/>
  <c r="N73" i="51" s="1"/>
  <c r="L72" i="51"/>
  <c r="N72" i="51" s="1"/>
  <c r="M71" i="51"/>
  <c r="L71" i="51"/>
  <c r="N71" i="51" s="1"/>
  <c r="M70" i="51"/>
  <c r="L70" i="51"/>
  <c r="N70" i="51" s="1"/>
  <c r="L69" i="51"/>
  <c r="N69" i="51" s="1"/>
  <c r="M68" i="51"/>
  <c r="L68" i="51"/>
  <c r="N68" i="51" s="1"/>
  <c r="M67" i="51"/>
  <c r="N67" i="51" s="1"/>
  <c r="L67" i="51"/>
  <c r="N66" i="51"/>
  <c r="L66" i="51"/>
  <c r="N65" i="51"/>
  <c r="L65" i="51"/>
  <c r="L64" i="51"/>
  <c r="N64" i="51" s="1"/>
  <c r="L63" i="51"/>
  <c r="N63" i="51" s="1"/>
  <c r="L62" i="51"/>
  <c r="N62" i="51" s="1"/>
  <c r="L61" i="51"/>
  <c r="N61" i="51" s="1"/>
  <c r="L60" i="51"/>
  <c r="N60" i="51" s="1"/>
  <c r="L59" i="51"/>
  <c r="N59" i="51" s="1"/>
  <c r="L58" i="51"/>
  <c r="N58" i="51" s="1"/>
  <c r="L57" i="51"/>
  <c r="N57" i="51" s="1"/>
  <c r="N56" i="51"/>
  <c r="L56" i="51"/>
  <c r="M55" i="51"/>
  <c r="L55" i="51"/>
  <c r="L54" i="51"/>
  <c r="N54" i="51" s="1"/>
  <c r="M53" i="51"/>
  <c r="L53" i="51"/>
  <c r="N53" i="51" s="1"/>
  <c r="M52" i="51"/>
  <c r="L52" i="51"/>
  <c r="N52" i="51" s="1"/>
  <c r="M51" i="51"/>
  <c r="L51" i="51"/>
  <c r="N51" i="51" s="1"/>
  <c r="L50" i="51"/>
  <c r="N50" i="51" s="1"/>
  <c r="M49" i="51"/>
  <c r="L49" i="51"/>
  <c r="N49" i="51" s="1"/>
  <c r="L48" i="51"/>
  <c r="N48" i="51" s="1"/>
  <c r="L47" i="51"/>
  <c r="N47" i="51" s="1"/>
  <c r="M46" i="51"/>
  <c r="L46" i="51"/>
  <c r="N46" i="51" s="1"/>
  <c r="M45" i="51"/>
  <c r="L45" i="51"/>
  <c r="L41" i="51"/>
  <c r="N41" i="51" s="1"/>
  <c r="L40" i="51"/>
  <c r="N40" i="51" s="1"/>
  <c r="L39" i="51"/>
  <c r="N39" i="51" s="1"/>
  <c r="M38" i="51"/>
  <c r="N38" i="51" s="1"/>
  <c r="L38" i="51"/>
  <c r="M37" i="51"/>
  <c r="N37" i="51" s="1"/>
  <c r="L37" i="51"/>
  <c r="M36" i="51"/>
  <c r="L36" i="51"/>
  <c r="N35" i="51"/>
  <c r="L35" i="51"/>
  <c r="M34" i="51"/>
  <c r="L34" i="51"/>
  <c r="M33" i="51"/>
  <c r="L33" i="51"/>
  <c r="M32" i="51"/>
  <c r="L32" i="51"/>
  <c r="M31" i="51"/>
  <c r="M138" i="51" s="1"/>
  <c r="L31" i="51"/>
  <c r="K26" i="51"/>
  <c r="J26" i="51"/>
  <c r="I26" i="51"/>
  <c r="H26" i="51"/>
  <c r="G26" i="51"/>
  <c r="F26" i="51"/>
  <c r="E26" i="51"/>
  <c r="D26" i="51"/>
  <c r="C26" i="51"/>
  <c r="L25" i="51"/>
  <c r="N25" i="51" s="1"/>
  <c r="L24" i="51"/>
  <c r="N24" i="51" s="1"/>
  <c r="L22" i="51"/>
  <c r="N22" i="51" s="1"/>
  <c r="L21" i="51"/>
  <c r="N21" i="51" s="1"/>
  <c r="M20" i="51"/>
  <c r="L20" i="51"/>
  <c r="L19" i="51"/>
  <c r="N19" i="51" s="1"/>
  <c r="M18" i="51"/>
  <c r="L18" i="51"/>
  <c r="N18" i="51" s="1"/>
  <c r="M15" i="51"/>
  <c r="L15" i="51"/>
  <c r="N15" i="51" s="1"/>
  <c r="L13" i="51"/>
  <c r="N13" i="51" s="1"/>
  <c r="N12" i="51"/>
  <c r="M12" i="51"/>
  <c r="L12" i="51"/>
  <c r="L11" i="51"/>
  <c r="M10" i="51"/>
  <c r="L10" i="51"/>
  <c r="C152" i="53" l="1"/>
  <c r="N38" i="52"/>
  <c r="N33" i="52"/>
  <c r="N68" i="52"/>
  <c r="N20" i="52"/>
  <c r="N31" i="52"/>
  <c r="N94" i="52"/>
  <c r="N32" i="52"/>
  <c r="N49" i="52"/>
  <c r="N51" i="52"/>
  <c r="N97" i="52"/>
  <c r="N99" i="52"/>
  <c r="N10" i="52"/>
  <c r="N52" i="52"/>
  <c r="N70" i="52"/>
  <c r="N96" i="52"/>
  <c r="N98" i="52"/>
  <c r="N100" i="52"/>
  <c r="N53" i="52"/>
  <c r="N15" i="52"/>
  <c r="M26" i="52"/>
  <c r="O15" i="52" s="1"/>
  <c r="N117" i="52"/>
  <c r="L26" i="52"/>
  <c r="N12" i="52"/>
  <c r="M138" i="52"/>
  <c r="O97" i="52" s="1"/>
  <c r="L138" i="52"/>
  <c r="N32" i="51"/>
  <c r="N34" i="51"/>
  <c r="N88" i="51"/>
  <c r="N90" i="51"/>
  <c r="N10" i="51"/>
  <c r="N55" i="51"/>
  <c r="N111" i="51"/>
  <c r="O134" i="51"/>
  <c r="O127" i="51"/>
  <c r="O118" i="51"/>
  <c r="O110" i="51"/>
  <c r="O105" i="51"/>
  <c r="O101" i="51"/>
  <c r="O87" i="51"/>
  <c r="O78" i="51"/>
  <c r="O72" i="51"/>
  <c r="O64" i="51"/>
  <c r="O58" i="51"/>
  <c r="O54" i="51"/>
  <c r="O41" i="51"/>
  <c r="O59" i="51"/>
  <c r="O47" i="51"/>
  <c r="O35" i="51"/>
  <c r="O137" i="51"/>
  <c r="O125" i="51"/>
  <c r="O115" i="51"/>
  <c r="O103" i="51"/>
  <c r="O135" i="51"/>
  <c r="O128" i="51"/>
  <c r="O124" i="51"/>
  <c r="O112" i="51"/>
  <c r="O106" i="51"/>
  <c r="O102" i="51"/>
  <c r="O92" i="51"/>
  <c r="O84" i="51"/>
  <c r="O73" i="51"/>
  <c r="O65" i="51"/>
  <c r="O129" i="51"/>
  <c r="O107" i="51"/>
  <c r="O99" i="51"/>
  <c r="O95" i="51"/>
  <c r="O86" i="51"/>
  <c r="O77" i="51"/>
  <c r="O71" i="51"/>
  <c r="O68" i="51"/>
  <c r="O67" i="51"/>
  <c r="O66" i="51"/>
  <c r="O52" i="51"/>
  <c r="O49" i="51"/>
  <c r="O48" i="51"/>
  <c r="O39" i="51"/>
  <c r="O98" i="51"/>
  <c r="O130" i="51"/>
  <c r="O108" i="51"/>
  <c r="O100" i="51"/>
  <c r="O96" i="51"/>
  <c r="O61" i="51"/>
  <c r="O57" i="51"/>
  <c r="O53" i="51"/>
  <c r="O116" i="51"/>
  <c r="O109" i="51"/>
  <c r="O97" i="51"/>
  <c r="O94" i="51"/>
  <c r="O93" i="51"/>
  <c r="O85" i="51"/>
  <c r="O76" i="51"/>
  <c r="O75" i="51"/>
  <c r="O74" i="51"/>
  <c r="O69" i="51"/>
  <c r="O50" i="51"/>
  <c r="O40" i="51"/>
  <c r="C151" i="51"/>
  <c r="O126" i="51"/>
  <c r="O117" i="51"/>
  <c r="O104" i="51"/>
  <c r="O70" i="51"/>
  <c r="O60" i="51"/>
  <c r="O56" i="51"/>
  <c r="O51" i="51"/>
  <c r="O45" i="51"/>
  <c r="O91" i="51"/>
  <c r="O111" i="51"/>
  <c r="L26" i="51"/>
  <c r="O32" i="51"/>
  <c r="O34" i="51"/>
  <c r="O36" i="51"/>
  <c r="N114" i="51"/>
  <c r="O114" i="51"/>
  <c r="M26" i="51"/>
  <c r="N20" i="51"/>
  <c r="N26" i="51" s="1"/>
  <c r="L138" i="51"/>
  <c r="N31" i="51"/>
  <c r="N33" i="51"/>
  <c r="N36" i="51"/>
  <c r="O46" i="51"/>
  <c r="O79" i="51"/>
  <c r="O88" i="51"/>
  <c r="O90" i="51"/>
  <c r="N136" i="51"/>
  <c r="O136" i="51"/>
  <c r="O37" i="51"/>
  <c r="O83" i="51"/>
  <c r="O89" i="51"/>
  <c r="O31" i="51"/>
  <c r="O33" i="51"/>
  <c r="O38" i="51"/>
  <c r="N45" i="51"/>
  <c r="N83" i="51"/>
  <c r="N89" i="51"/>
  <c r="N91" i="51"/>
  <c r="O113" i="51"/>
  <c r="N113" i="51"/>
  <c r="O119" i="51"/>
  <c r="C159" i="50"/>
  <c r="C158" i="50"/>
  <c r="C157" i="50"/>
  <c r="C170" i="53" l="1"/>
  <c r="C168" i="53"/>
  <c r="O18" i="52"/>
  <c r="N138" i="52"/>
  <c r="O67" i="52"/>
  <c r="O70" i="52"/>
  <c r="O68" i="52"/>
  <c r="O71" i="52"/>
  <c r="O98" i="52"/>
  <c r="O96" i="52"/>
  <c r="O49" i="52"/>
  <c r="O94" i="52"/>
  <c r="O109" i="52"/>
  <c r="O100" i="52"/>
  <c r="O52" i="52"/>
  <c r="N26" i="52"/>
  <c r="O137" i="52"/>
  <c r="O129" i="52"/>
  <c r="O125" i="52"/>
  <c r="O115" i="52"/>
  <c r="O107" i="52"/>
  <c r="O103" i="52"/>
  <c r="O93" i="52"/>
  <c r="O85" i="52"/>
  <c r="O74" i="52"/>
  <c r="O66" i="52"/>
  <c r="O60" i="52"/>
  <c r="O56" i="52"/>
  <c r="O48" i="52"/>
  <c r="O39" i="52"/>
  <c r="O127" i="52"/>
  <c r="O119" i="52"/>
  <c r="O118" i="52"/>
  <c r="O101" i="52"/>
  <c r="O91" i="52"/>
  <c r="O90" i="52"/>
  <c r="O89" i="52"/>
  <c r="O88" i="52"/>
  <c r="O83" i="52"/>
  <c r="O79" i="52"/>
  <c r="O78" i="52"/>
  <c r="O64" i="52"/>
  <c r="O54" i="52"/>
  <c r="O46" i="52"/>
  <c r="O45" i="52"/>
  <c r="O41" i="52"/>
  <c r="O33" i="52"/>
  <c r="O31" i="52"/>
  <c r="C151" i="52"/>
  <c r="O130" i="52"/>
  <c r="O126" i="52"/>
  <c r="O116" i="52"/>
  <c r="O108" i="52"/>
  <c r="O104" i="52"/>
  <c r="O95" i="52"/>
  <c r="O86" i="52"/>
  <c r="O77" i="52"/>
  <c r="O69" i="52"/>
  <c r="O61" i="52"/>
  <c r="O57" i="52"/>
  <c r="O50" i="52"/>
  <c r="O40" i="52"/>
  <c r="O134" i="52"/>
  <c r="O111" i="52"/>
  <c r="O110" i="52"/>
  <c r="O105" i="52"/>
  <c r="O87" i="52"/>
  <c r="O72" i="52"/>
  <c r="O58" i="52"/>
  <c r="O34" i="52"/>
  <c r="O32" i="52"/>
  <c r="O136" i="52"/>
  <c r="O112" i="52"/>
  <c r="O36" i="52"/>
  <c r="O84" i="52"/>
  <c r="O38" i="52"/>
  <c r="O135" i="52"/>
  <c r="O124" i="52"/>
  <c r="O92" i="52"/>
  <c r="O73" i="52"/>
  <c r="O59" i="52"/>
  <c r="O128" i="52"/>
  <c r="O113" i="52"/>
  <c r="O102" i="52"/>
  <c r="O65" i="52"/>
  <c r="O47" i="52"/>
  <c r="O37" i="52"/>
  <c r="O114" i="52"/>
  <c r="O106" i="52"/>
  <c r="O35" i="52"/>
  <c r="O117" i="52"/>
  <c r="O53" i="52"/>
  <c r="O75" i="52"/>
  <c r="O22" i="52"/>
  <c r="C150" i="52"/>
  <c r="O25" i="52"/>
  <c r="O24" i="52"/>
  <c r="O13" i="52"/>
  <c r="O20" i="52"/>
  <c r="O19" i="52"/>
  <c r="O21" i="52"/>
  <c r="O12" i="52"/>
  <c r="O76" i="52"/>
  <c r="O99" i="52"/>
  <c r="O51" i="52"/>
  <c r="O10" i="52"/>
  <c r="C150" i="51"/>
  <c r="C152" i="51" s="1"/>
  <c r="O25" i="51"/>
  <c r="O19" i="51"/>
  <c r="O21" i="51"/>
  <c r="O10" i="51"/>
  <c r="O18" i="51"/>
  <c r="O12" i="51"/>
  <c r="O24" i="51"/>
  <c r="O13" i="51"/>
  <c r="O15" i="51"/>
  <c r="O22" i="51"/>
  <c r="O20" i="51"/>
  <c r="N138" i="51"/>
  <c r="M97" i="50"/>
  <c r="M98" i="50"/>
  <c r="M99" i="50"/>
  <c r="C152" i="52" l="1"/>
  <c r="C168" i="51"/>
  <c r="C166" i="51"/>
  <c r="M138" i="50"/>
  <c r="G138" i="50"/>
  <c r="L52" i="50"/>
  <c r="L18" i="50"/>
  <c r="C170" i="52" l="1"/>
  <c r="C168" i="52"/>
  <c r="C162" i="50"/>
  <c r="C146" i="50"/>
  <c r="K138" i="50"/>
  <c r="J138" i="50"/>
  <c r="I138" i="50"/>
  <c r="H138" i="50"/>
  <c r="F138" i="50"/>
  <c r="E138" i="50"/>
  <c r="D138" i="50"/>
  <c r="C138" i="50"/>
  <c r="L137" i="50"/>
  <c r="N137" i="50" s="1"/>
  <c r="L136" i="50"/>
  <c r="N136" i="50" s="1"/>
  <c r="N135" i="50"/>
  <c r="L135" i="50"/>
  <c r="N134" i="50"/>
  <c r="L134" i="50"/>
  <c r="N130" i="50"/>
  <c r="L130" i="50"/>
  <c r="L129" i="50"/>
  <c r="N129" i="50" s="1"/>
  <c r="L128" i="50"/>
  <c r="N128" i="50" s="1"/>
  <c r="L127" i="50"/>
  <c r="N127" i="50" s="1"/>
  <c r="N126" i="50"/>
  <c r="L126" i="50"/>
  <c r="L125" i="50"/>
  <c r="N125" i="50" s="1"/>
  <c r="L124" i="50"/>
  <c r="N124" i="50" s="1"/>
  <c r="L119" i="50"/>
  <c r="N119" i="50" s="1"/>
  <c r="N118" i="50"/>
  <c r="L118" i="50"/>
  <c r="L117" i="50"/>
  <c r="N117" i="50" s="1"/>
  <c r="L116" i="50"/>
  <c r="N116" i="50" s="1"/>
  <c r="N115" i="50"/>
  <c r="L115" i="50"/>
  <c r="L114" i="50"/>
  <c r="N114" i="50" s="1"/>
  <c r="L113" i="50"/>
  <c r="N113" i="50" s="1"/>
  <c r="N112" i="50"/>
  <c r="L112" i="50"/>
  <c r="L111" i="50"/>
  <c r="N111" i="50" s="1"/>
  <c r="L110" i="50"/>
  <c r="N110" i="50" s="1"/>
  <c r="N109" i="50"/>
  <c r="L109" i="50"/>
  <c r="L108" i="50"/>
  <c r="N108" i="50" s="1"/>
  <c r="L107" i="50"/>
  <c r="N107" i="50" s="1"/>
  <c r="L106" i="50"/>
  <c r="N106" i="50" s="1"/>
  <c r="L105" i="50"/>
  <c r="N105" i="50" s="1"/>
  <c r="L104" i="50"/>
  <c r="N104" i="50" s="1"/>
  <c r="L103" i="50"/>
  <c r="N103" i="50" s="1"/>
  <c r="N102" i="50"/>
  <c r="L102" i="50"/>
  <c r="L101" i="50"/>
  <c r="N101" i="50" s="1"/>
  <c r="L100" i="50"/>
  <c r="N100" i="50" s="1"/>
  <c r="L99" i="50"/>
  <c r="N99" i="50" s="1"/>
  <c r="L98" i="50"/>
  <c r="N98" i="50" s="1"/>
  <c r="L97" i="50"/>
  <c r="N97" i="50" s="1"/>
  <c r="L96" i="50"/>
  <c r="N96" i="50" s="1"/>
  <c r="N95" i="50"/>
  <c r="L95" i="50"/>
  <c r="L94" i="50"/>
  <c r="N94" i="50" s="1"/>
  <c r="N93" i="50"/>
  <c r="L93" i="50"/>
  <c r="L92" i="50"/>
  <c r="N92" i="50" s="1"/>
  <c r="L91" i="50"/>
  <c r="N91" i="50" s="1"/>
  <c r="L90" i="50"/>
  <c r="N90" i="50" s="1"/>
  <c r="L89" i="50"/>
  <c r="N89" i="50" s="1"/>
  <c r="L88" i="50"/>
  <c r="N88" i="50" s="1"/>
  <c r="L87" i="50"/>
  <c r="N87" i="50" s="1"/>
  <c r="L86" i="50"/>
  <c r="N86" i="50" s="1"/>
  <c r="L85" i="50"/>
  <c r="N85" i="50" s="1"/>
  <c r="N84" i="50"/>
  <c r="L84" i="50"/>
  <c r="L83" i="50"/>
  <c r="N83" i="50" s="1"/>
  <c r="N79" i="50"/>
  <c r="L79" i="50"/>
  <c r="L78" i="50"/>
  <c r="N78" i="50" s="1"/>
  <c r="L77" i="50"/>
  <c r="N77" i="50" s="1"/>
  <c r="L76" i="50"/>
  <c r="N76" i="50" s="1"/>
  <c r="L75" i="50"/>
  <c r="N75" i="50" s="1"/>
  <c r="L74" i="50"/>
  <c r="N74" i="50" s="1"/>
  <c r="L73" i="50"/>
  <c r="L72" i="50"/>
  <c r="N72" i="50" s="1"/>
  <c r="L71" i="50"/>
  <c r="N71" i="50" s="1"/>
  <c r="L70" i="50"/>
  <c r="N70" i="50" s="1"/>
  <c r="L69" i="50"/>
  <c r="N69" i="50" s="1"/>
  <c r="L68" i="50"/>
  <c r="N68" i="50" s="1"/>
  <c r="L67" i="50"/>
  <c r="N67" i="50" s="1"/>
  <c r="L66" i="50"/>
  <c r="N66" i="50" s="1"/>
  <c r="L65" i="50"/>
  <c r="N65" i="50" s="1"/>
  <c r="L64" i="50"/>
  <c r="N64" i="50" s="1"/>
  <c r="L63" i="50"/>
  <c r="N63" i="50" s="1"/>
  <c r="N62" i="50"/>
  <c r="L62" i="50"/>
  <c r="N61" i="50"/>
  <c r="L61" i="50"/>
  <c r="L60" i="50"/>
  <c r="N60" i="50" s="1"/>
  <c r="L59" i="50"/>
  <c r="N59" i="50" s="1"/>
  <c r="L58" i="50"/>
  <c r="N58" i="50" s="1"/>
  <c r="L57" i="50"/>
  <c r="N57" i="50" s="1"/>
  <c r="L56" i="50"/>
  <c r="N56" i="50" s="1"/>
  <c r="L55" i="50"/>
  <c r="N55" i="50" s="1"/>
  <c r="L54" i="50"/>
  <c r="N54" i="50" s="1"/>
  <c r="L53" i="50"/>
  <c r="N53" i="50" s="1"/>
  <c r="N52" i="50"/>
  <c r="N51" i="50"/>
  <c r="L51" i="50"/>
  <c r="N50" i="50"/>
  <c r="L50" i="50"/>
  <c r="N49" i="50"/>
  <c r="L49" i="50"/>
  <c r="N48" i="50"/>
  <c r="L48" i="50"/>
  <c r="L47" i="50"/>
  <c r="N47" i="50" s="1"/>
  <c r="L46" i="50"/>
  <c r="N46" i="50" s="1"/>
  <c r="L45" i="50"/>
  <c r="N45" i="50" s="1"/>
  <c r="L41" i="50"/>
  <c r="N41" i="50" s="1"/>
  <c r="L40" i="50"/>
  <c r="N40" i="50" s="1"/>
  <c r="L39" i="50"/>
  <c r="N39" i="50" s="1"/>
  <c r="L38" i="50"/>
  <c r="N38" i="50" s="1"/>
  <c r="L37" i="50"/>
  <c r="N37" i="50" s="1"/>
  <c r="L36" i="50"/>
  <c r="N36" i="50" s="1"/>
  <c r="N35" i="50"/>
  <c r="L35" i="50"/>
  <c r="L34" i="50"/>
  <c r="N34" i="50" s="1"/>
  <c r="L33" i="50"/>
  <c r="N33" i="50" s="1"/>
  <c r="L32" i="50"/>
  <c r="N32" i="50" s="1"/>
  <c r="O33" i="50"/>
  <c r="L31" i="50"/>
  <c r="N31" i="50" s="1"/>
  <c r="K26" i="50"/>
  <c r="J26" i="50"/>
  <c r="I26" i="50"/>
  <c r="H26" i="50"/>
  <c r="G26" i="50"/>
  <c r="F26" i="50"/>
  <c r="E26" i="50"/>
  <c r="D26" i="50"/>
  <c r="C26" i="50"/>
  <c r="N25" i="50"/>
  <c r="L25" i="50"/>
  <c r="L24" i="50"/>
  <c r="N24" i="50" s="1"/>
  <c r="L22" i="50"/>
  <c r="N22" i="50" s="1"/>
  <c r="N21" i="50"/>
  <c r="L21" i="50"/>
  <c r="N20" i="50"/>
  <c r="L20" i="50"/>
  <c r="L19" i="50"/>
  <c r="N19" i="50" s="1"/>
  <c r="N18" i="50"/>
  <c r="L15" i="50"/>
  <c r="N15" i="50" s="1"/>
  <c r="L13" i="50"/>
  <c r="N13" i="50" s="1"/>
  <c r="N12" i="50"/>
  <c r="L12" i="50"/>
  <c r="L11" i="50"/>
  <c r="N10" i="50"/>
  <c r="L10" i="50"/>
  <c r="M26" i="50" l="1"/>
  <c r="O20" i="50" s="1"/>
  <c r="O113" i="50"/>
  <c r="O32" i="50"/>
  <c r="O49" i="50"/>
  <c r="O98" i="50"/>
  <c r="O99" i="50"/>
  <c r="O37" i="50"/>
  <c r="O76" i="50"/>
  <c r="N73" i="50"/>
  <c r="L138" i="50"/>
  <c r="N138" i="50"/>
  <c r="L26" i="50"/>
  <c r="N26" i="50"/>
  <c r="O136" i="50"/>
  <c r="O135" i="50"/>
  <c r="O128" i="50"/>
  <c r="O124" i="50"/>
  <c r="O115" i="50"/>
  <c r="O110" i="50"/>
  <c r="O106" i="50"/>
  <c r="O102" i="50"/>
  <c r="O96" i="50"/>
  <c r="O95" i="50"/>
  <c r="O91" i="50"/>
  <c r="O90" i="50"/>
  <c r="O89" i="50"/>
  <c r="O88" i="50"/>
  <c r="O84" i="50"/>
  <c r="O73" i="50"/>
  <c r="O69" i="50"/>
  <c r="O64" i="50"/>
  <c r="O58" i="50"/>
  <c r="O51" i="50"/>
  <c r="O46" i="50"/>
  <c r="O45" i="50"/>
  <c r="O41" i="50"/>
  <c r="O35" i="50"/>
  <c r="O61" i="50"/>
  <c r="O50" i="50"/>
  <c r="O137" i="50"/>
  <c r="O129" i="50"/>
  <c r="O125" i="50"/>
  <c r="O116" i="50"/>
  <c r="O111" i="50"/>
  <c r="O107" i="50"/>
  <c r="O103" i="50"/>
  <c r="O97" i="50"/>
  <c r="O92" i="50"/>
  <c r="O85" i="50"/>
  <c r="O74" i="50"/>
  <c r="O70" i="50"/>
  <c r="O65" i="50"/>
  <c r="O59" i="50"/>
  <c r="O52" i="50"/>
  <c r="O47" i="50"/>
  <c r="O36" i="50"/>
  <c r="O87" i="50"/>
  <c r="O83" i="50"/>
  <c r="O79" i="50"/>
  <c r="O78" i="50"/>
  <c r="O72" i="50"/>
  <c r="C151" i="50"/>
  <c r="O130" i="50"/>
  <c r="O126" i="50"/>
  <c r="O117" i="50"/>
  <c r="O112" i="50"/>
  <c r="O108" i="50"/>
  <c r="O104" i="50"/>
  <c r="O100" i="50"/>
  <c r="O93" i="50"/>
  <c r="O86" i="50"/>
  <c r="O77" i="50"/>
  <c r="O71" i="50"/>
  <c r="O66" i="50"/>
  <c r="O60" i="50"/>
  <c r="O56" i="50"/>
  <c r="O53" i="50"/>
  <c r="O48" i="50"/>
  <c r="O39" i="50"/>
  <c r="O134" i="50"/>
  <c r="O127" i="50"/>
  <c r="O119" i="50"/>
  <c r="O118" i="50"/>
  <c r="O114" i="50"/>
  <c r="O109" i="50"/>
  <c r="O105" i="50"/>
  <c r="O101" i="50"/>
  <c r="O94" i="50"/>
  <c r="O68" i="50"/>
  <c r="O67" i="50"/>
  <c r="O57" i="50"/>
  <c r="O54" i="50"/>
  <c r="O40" i="50"/>
  <c r="O34" i="50"/>
  <c r="O38" i="50"/>
  <c r="O75" i="50"/>
  <c r="C150" i="50"/>
  <c r="O31" i="50"/>
  <c r="C26" i="49"/>
  <c r="O13" i="50" l="1"/>
  <c r="O25" i="50"/>
  <c r="O24" i="50"/>
  <c r="O18" i="50"/>
  <c r="O19" i="50"/>
  <c r="O15" i="50"/>
  <c r="O22" i="50"/>
  <c r="O21" i="50"/>
  <c r="O12" i="50"/>
  <c r="O10" i="50"/>
  <c r="C152" i="50"/>
  <c r="C167" i="50" s="1"/>
  <c r="M37" i="49"/>
  <c r="C159" i="49"/>
  <c r="C157" i="49"/>
  <c r="M136" i="49"/>
  <c r="M119" i="49"/>
  <c r="M113" i="49"/>
  <c r="M99" i="49"/>
  <c r="M98" i="49"/>
  <c r="M96" i="49"/>
  <c r="M91" i="49"/>
  <c r="M90" i="49"/>
  <c r="M89" i="49"/>
  <c r="M83" i="49"/>
  <c r="M79" i="49"/>
  <c r="M76" i="49"/>
  <c r="M75" i="49"/>
  <c r="M68" i="49"/>
  <c r="M49" i="49"/>
  <c r="M46" i="49"/>
  <c r="M45" i="49"/>
  <c r="M38" i="49"/>
  <c r="L34" i="49"/>
  <c r="N34" i="49"/>
  <c r="M33" i="49"/>
  <c r="M32" i="49"/>
  <c r="M31" i="49"/>
  <c r="M18" i="49"/>
  <c r="N18" i="49" s="1"/>
  <c r="M15" i="49"/>
  <c r="M10" i="49"/>
  <c r="C146" i="49"/>
  <c r="K138" i="49"/>
  <c r="J138" i="49"/>
  <c r="I138" i="49"/>
  <c r="H138" i="49"/>
  <c r="G138" i="49"/>
  <c r="F138" i="49"/>
  <c r="E138" i="49"/>
  <c r="D138" i="49"/>
  <c r="C138" i="49"/>
  <c r="L137" i="49"/>
  <c r="N137" i="49" s="1"/>
  <c r="L136" i="49"/>
  <c r="L135" i="49"/>
  <c r="N135" i="49" s="1"/>
  <c r="L134" i="49"/>
  <c r="N134" i="49" s="1"/>
  <c r="L130" i="49"/>
  <c r="N130" i="49" s="1"/>
  <c r="L129" i="49"/>
  <c r="N129" i="49" s="1"/>
  <c r="L128" i="49"/>
  <c r="N128" i="49" s="1"/>
  <c r="L127" i="49"/>
  <c r="N127" i="49" s="1"/>
  <c r="L126" i="49"/>
  <c r="N126" i="49" s="1"/>
  <c r="L125" i="49"/>
  <c r="N125" i="49" s="1"/>
  <c r="L124" i="49"/>
  <c r="N124" i="49" s="1"/>
  <c r="L119" i="49"/>
  <c r="N119" i="49" s="1"/>
  <c r="L118" i="49"/>
  <c r="N118" i="49" s="1"/>
  <c r="L117" i="49"/>
  <c r="N117" i="49" s="1"/>
  <c r="L116" i="49"/>
  <c r="N116" i="49" s="1"/>
  <c r="L115" i="49"/>
  <c r="N115" i="49" s="1"/>
  <c r="L114" i="49"/>
  <c r="N114" i="49" s="1"/>
  <c r="L113" i="49"/>
  <c r="N113" i="49" s="1"/>
  <c r="L112" i="49"/>
  <c r="N112" i="49" s="1"/>
  <c r="L111" i="49"/>
  <c r="N111" i="49" s="1"/>
  <c r="L110" i="49"/>
  <c r="N110" i="49" s="1"/>
  <c r="L109" i="49"/>
  <c r="N109" i="49" s="1"/>
  <c r="L108" i="49"/>
  <c r="N108" i="49" s="1"/>
  <c r="L107" i="49"/>
  <c r="N107" i="49" s="1"/>
  <c r="L106" i="49"/>
  <c r="N106" i="49" s="1"/>
  <c r="L105" i="49"/>
  <c r="N105" i="49" s="1"/>
  <c r="L104" i="49"/>
  <c r="N104" i="49" s="1"/>
  <c r="L103" i="49"/>
  <c r="N103" i="49" s="1"/>
  <c r="L102" i="49"/>
  <c r="N102" i="49" s="1"/>
  <c r="L101" i="49"/>
  <c r="N101" i="49" s="1"/>
  <c r="L100" i="49"/>
  <c r="N100" i="49" s="1"/>
  <c r="L99" i="49"/>
  <c r="L98" i="49"/>
  <c r="N98" i="49" s="1"/>
  <c r="L97" i="49"/>
  <c r="N97" i="49" s="1"/>
  <c r="L96" i="49"/>
  <c r="L95" i="49"/>
  <c r="N95" i="49" s="1"/>
  <c r="L94" i="49"/>
  <c r="N94" i="49" s="1"/>
  <c r="N93" i="49"/>
  <c r="L93" i="49"/>
  <c r="N92" i="49"/>
  <c r="L92" i="49"/>
  <c r="L91" i="49"/>
  <c r="N91" i="49" s="1"/>
  <c r="L90" i="49"/>
  <c r="L89" i="49"/>
  <c r="L88" i="49"/>
  <c r="N88" i="49" s="1"/>
  <c r="L87" i="49"/>
  <c r="N87" i="49" s="1"/>
  <c r="L86" i="49"/>
  <c r="N86" i="49" s="1"/>
  <c r="L85" i="49"/>
  <c r="N85" i="49" s="1"/>
  <c r="L84" i="49"/>
  <c r="N84" i="49" s="1"/>
  <c r="L83" i="49"/>
  <c r="L79" i="49"/>
  <c r="L78" i="49"/>
  <c r="N78" i="49" s="1"/>
  <c r="L77" i="49"/>
  <c r="N77" i="49" s="1"/>
  <c r="L76" i="49"/>
  <c r="L75" i="49"/>
  <c r="L74" i="49"/>
  <c r="N74" i="49" s="1"/>
  <c r="L73" i="49"/>
  <c r="N73" i="49" s="1"/>
  <c r="L72" i="49"/>
  <c r="N72" i="49" s="1"/>
  <c r="L71" i="49"/>
  <c r="N71" i="49" s="1"/>
  <c r="L70" i="49"/>
  <c r="N70" i="49" s="1"/>
  <c r="L69" i="49"/>
  <c r="N69" i="49" s="1"/>
  <c r="L68" i="49"/>
  <c r="N68" i="49" s="1"/>
  <c r="L67" i="49"/>
  <c r="N67" i="49" s="1"/>
  <c r="L66" i="49"/>
  <c r="N66" i="49" s="1"/>
  <c r="L65" i="49"/>
  <c r="N65" i="49" s="1"/>
  <c r="L64" i="49"/>
  <c r="N64" i="49" s="1"/>
  <c r="N63" i="49"/>
  <c r="L63" i="49"/>
  <c r="L62" i="49"/>
  <c r="N62" i="49" s="1"/>
  <c r="L61" i="49"/>
  <c r="N61" i="49" s="1"/>
  <c r="N60" i="49"/>
  <c r="L60" i="49"/>
  <c r="N59" i="49"/>
  <c r="L59" i="49"/>
  <c r="L58" i="49"/>
  <c r="N58" i="49" s="1"/>
  <c r="L57" i="49"/>
  <c r="N57" i="49" s="1"/>
  <c r="N56" i="49"/>
  <c r="L56" i="49"/>
  <c r="L55" i="49"/>
  <c r="N55" i="49" s="1"/>
  <c r="L54" i="49"/>
  <c r="N54" i="49" s="1"/>
  <c r="N53" i="49"/>
  <c r="L53" i="49"/>
  <c r="N52" i="49"/>
  <c r="L52" i="49"/>
  <c r="L51" i="49"/>
  <c r="N51" i="49" s="1"/>
  <c r="L50" i="49"/>
  <c r="N50" i="49" s="1"/>
  <c r="L49" i="49"/>
  <c r="L48" i="49"/>
  <c r="N48" i="49" s="1"/>
  <c r="L47" i="49"/>
  <c r="N47" i="49" s="1"/>
  <c r="L46" i="49"/>
  <c r="L45" i="49"/>
  <c r="N41" i="49"/>
  <c r="L41" i="49"/>
  <c r="L40" i="49"/>
  <c r="N40" i="49" s="1"/>
  <c r="L39" i="49"/>
  <c r="N39" i="49" s="1"/>
  <c r="N38" i="49"/>
  <c r="L38" i="49"/>
  <c r="L37" i="49"/>
  <c r="L36" i="49"/>
  <c r="N36" i="49" s="1"/>
  <c r="L35" i="49"/>
  <c r="N35" i="49" s="1"/>
  <c r="L33" i="49"/>
  <c r="L32" i="49"/>
  <c r="L31" i="49"/>
  <c r="K26" i="49"/>
  <c r="J26" i="49"/>
  <c r="I26" i="49"/>
  <c r="H26" i="49"/>
  <c r="G26" i="49"/>
  <c r="F26" i="49"/>
  <c r="E26" i="49"/>
  <c r="D26" i="49"/>
  <c r="L25" i="49"/>
  <c r="N25" i="49" s="1"/>
  <c r="L24" i="49"/>
  <c r="N24" i="49" s="1"/>
  <c r="L22" i="49"/>
  <c r="N22" i="49" s="1"/>
  <c r="L21" i="49"/>
  <c r="N21" i="49" s="1"/>
  <c r="L20" i="49"/>
  <c r="N20" i="49" s="1"/>
  <c r="L19" i="49"/>
  <c r="N19" i="49" s="1"/>
  <c r="L18" i="49"/>
  <c r="L15" i="49"/>
  <c r="L13" i="49"/>
  <c r="N13" i="49" s="1"/>
  <c r="L12" i="49"/>
  <c r="N12" i="49" s="1"/>
  <c r="L11" i="49"/>
  <c r="L10" i="49"/>
  <c r="N99" i="49" l="1"/>
  <c r="N49" i="49"/>
  <c r="C162" i="49"/>
  <c r="N32" i="49"/>
  <c r="N96" i="49"/>
  <c r="N37" i="49"/>
  <c r="L26" i="49"/>
  <c r="N33" i="49"/>
  <c r="N45" i="49"/>
  <c r="N89" i="49"/>
  <c r="C165" i="50"/>
  <c r="N136" i="49"/>
  <c r="N90" i="49"/>
  <c r="N83" i="49"/>
  <c r="N79" i="49"/>
  <c r="N76" i="49"/>
  <c r="N75" i="49"/>
  <c r="N46" i="49"/>
  <c r="L138" i="49"/>
  <c r="M138" i="49"/>
  <c r="O124" i="49" s="1"/>
  <c r="M26" i="49"/>
  <c r="O22" i="49" s="1"/>
  <c r="N15" i="49"/>
  <c r="O13" i="49"/>
  <c r="O24" i="49"/>
  <c r="O18" i="49"/>
  <c r="N10" i="49"/>
  <c r="N26" i="49" s="1"/>
  <c r="N31" i="49"/>
  <c r="C146" i="37"/>
  <c r="C157" i="37"/>
  <c r="O39" i="49" l="1"/>
  <c r="O127" i="49"/>
  <c r="O74" i="49"/>
  <c r="O119" i="49"/>
  <c r="O58" i="49"/>
  <c r="O45" i="49"/>
  <c r="O67" i="49"/>
  <c r="O98" i="49"/>
  <c r="O78" i="49"/>
  <c r="N138" i="49"/>
  <c r="O59" i="49"/>
  <c r="O49" i="49"/>
  <c r="O91" i="49"/>
  <c r="O112" i="49"/>
  <c r="O109" i="49"/>
  <c r="O84" i="49"/>
  <c r="O113" i="49"/>
  <c r="O69" i="49"/>
  <c r="O87" i="49"/>
  <c r="O35" i="49"/>
  <c r="O116" i="49"/>
  <c r="O102" i="49"/>
  <c r="C151" i="49"/>
  <c r="O34" i="49"/>
  <c r="O31" i="49"/>
  <c r="O50" i="49"/>
  <c r="O77" i="49"/>
  <c r="O32" i="49"/>
  <c r="O66" i="49"/>
  <c r="O76" i="49"/>
  <c r="O90" i="49"/>
  <c r="O101" i="49"/>
  <c r="O111" i="49"/>
  <c r="O126" i="49"/>
  <c r="O38" i="49"/>
  <c r="O51" i="49"/>
  <c r="O61" i="49"/>
  <c r="O92" i="49"/>
  <c r="O128" i="49"/>
  <c r="O70" i="49"/>
  <c r="O83" i="49"/>
  <c r="O94" i="49"/>
  <c r="O105" i="49"/>
  <c r="O115" i="49"/>
  <c r="O130" i="49"/>
  <c r="O47" i="49"/>
  <c r="O135" i="49"/>
  <c r="O37" i="49"/>
  <c r="O53" i="49"/>
  <c r="O96" i="49"/>
  <c r="O41" i="49"/>
  <c r="O68" i="49"/>
  <c r="O79" i="49"/>
  <c r="O93" i="49"/>
  <c r="O103" i="49"/>
  <c r="O114" i="49"/>
  <c r="O129" i="49"/>
  <c r="O40" i="49"/>
  <c r="O54" i="49"/>
  <c r="O65" i="49"/>
  <c r="O100" i="49"/>
  <c r="O136" i="49"/>
  <c r="O72" i="49"/>
  <c r="O86" i="49"/>
  <c r="O97" i="49"/>
  <c r="O107" i="49"/>
  <c r="O118" i="49"/>
  <c r="O48" i="49"/>
  <c r="O60" i="49"/>
  <c r="O137" i="49"/>
  <c r="O36" i="49"/>
  <c r="O57" i="49"/>
  <c r="O104" i="49"/>
  <c r="O52" i="49"/>
  <c r="O71" i="49"/>
  <c r="O85" i="49"/>
  <c r="O95" i="49"/>
  <c r="O106" i="49"/>
  <c r="O117" i="49"/>
  <c r="O134" i="49"/>
  <c r="O46" i="49"/>
  <c r="O56" i="49"/>
  <c r="O73" i="49"/>
  <c r="O108" i="49"/>
  <c r="O64" i="49"/>
  <c r="O75" i="49"/>
  <c r="O89" i="49"/>
  <c r="O99" i="49"/>
  <c r="O110" i="49"/>
  <c r="O125" i="49"/>
  <c r="O33" i="49"/>
  <c r="O88" i="49"/>
  <c r="O12" i="49"/>
  <c r="C150" i="49"/>
  <c r="O21" i="49"/>
  <c r="O10" i="49"/>
  <c r="O15" i="49"/>
  <c r="O19" i="49"/>
  <c r="O25" i="49"/>
  <c r="O20" i="49"/>
  <c r="L55" i="37"/>
  <c r="N55" i="37" s="1"/>
  <c r="C152" i="49" l="1"/>
  <c r="C167" i="49" s="1"/>
  <c r="M26" i="37"/>
  <c r="O22" i="37" s="1"/>
  <c r="C162" i="37"/>
  <c r="M138" i="37"/>
  <c r="O136" i="37" s="1"/>
  <c r="K138" i="37"/>
  <c r="J138" i="37"/>
  <c r="I138" i="37"/>
  <c r="H138" i="37"/>
  <c r="G138" i="37"/>
  <c r="E138" i="37"/>
  <c r="C138" i="37"/>
  <c r="L137" i="37"/>
  <c r="N137" i="37" s="1"/>
  <c r="L136" i="37"/>
  <c r="N136" i="37"/>
  <c r="L135" i="37"/>
  <c r="N135" i="37" s="1"/>
  <c r="L134" i="37"/>
  <c r="N134" i="37" s="1"/>
  <c r="L130" i="37"/>
  <c r="N130" i="37"/>
  <c r="L129" i="37"/>
  <c r="N129" i="37"/>
  <c r="L128" i="37"/>
  <c r="N128" i="37" s="1"/>
  <c r="N127" i="37"/>
  <c r="L127" i="37"/>
  <c r="L126" i="37"/>
  <c r="N126" i="37" s="1"/>
  <c r="L125" i="37"/>
  <c r="N125" i="37" s="1"/>
  <c r="L124" i="37"/>
  <c r="N124" i="37" s="1"/>
  <c r="L119" i="37"/>
  <c r="N119" i="37" s="1"/>
  <c r="L118" i="37"/>
  <c r="N118" i="37" s="1"/>
  <c r="N117" i="37"/>
  <c r="L117" i="37"/>
  <c r="L116" i="37"/>
  <c r="N116" i="37" s="1"/>
  <c r="L115" i="37"/>
  <c r="N115" i="37" s="1"/>
  <c r="L114" i="37"/>
  <c r="N114" i="37"/>
  <c r="L113" i="37"/>
  <c r="N113" i="37" s="1"/>
  <c r="L112" i="37"/>
  <c r="N112" i="37"/>
  <c r="L111" i="37"/>
  <c r="N111" i="37" s="1"/>
  <c r="L110" i="37"/>
  <c r="N110" i="37" s="1"/>
  <c r="L109" i="37"/>
  <c r="N109" i="37" s="1"/>
  <c r="L108" i="37"/>
  <c r="N108" i="37" s="1"/>
  <c r="L107" i="37"/>
  <c r="N107" i="37"/>
  <c r="L106" i="37"/>
  <c r="N106" i="37" s="1"/>
  <c r="L105" i="37"/>
  <c r="N105" i="37"/>
  <c r="L104" i="37"/>
  <c r="N104" i="37" s="1"/>
  <c r="L103" i="37"/>
  <c r="N103" i="37"/>
  <c r="L102" i="37"/>
  <c r="N102" i="37" s="1"/>
  <c r="L101" i="37"/>
  <c r="N101" i="37" s="1"/>
  <c r="L100" i="37"/>
  <c r="N100" i="37" s="1"/>
  <c r="L99" i="37"/>
  <c r="N99" i="37"/>
  <c r="L98" i="37"/>
  <c r="N98" i="37" s="1"/>
  <c r="L97" i="37"/>
  <c r="N97" i="37"/>
  <c r="L96" i="37"/>
  <c r="N96" i="37" s="1"/>
  <c r="L95" i="37"/>
  <c r="N95" i="37"/>
  <c r="L94" i="37"/>
  <c r="N94" i="37" s="1"/>
  <c r="L93" i="37"/>
  <c r="N93" i="37"/>
  <c r="L92" i="37"/>
  <c r="N92" i="37" s="1"/>
  <c r="L91" i="37"/>
  <c r="N91" i="37" s="1"/>
  <c r="L90" i="37"/>
  <c r="N90" i="37" s="1"/>
  <c r="L89" i="37"/>
  <c r="N89" i="37"/>
  <c r="L88" i="37"/>
  <c r="N88" i="37" s="1"/>
  <c r="L87" i="37"/>
  <c r="N87" i="37" s="1"/>
  <c r="L86" i="37"/>
  <c r="N86" i="37" s="1"/>
  <c r="L85" i="37"/>
  <c r="N85" i="37" s="1"/>
  <c r="L84" i="37"/>
  <c r="N84" i="37" s="1"/>
  <c r="L83" i="37"/>
  <c r="N83" i="37" s="1"/>
  <c r="L79" i="37"/>
  <c r="N79" i="37" s="1"/>
  <c r="F138" i="37"/>
  <c r="L78" i="37"/>
  <c r="N78" i="37" s="1"/>
  <c r="L77" i="37"/>
  <c r="N77" i="37" s="1"/>
  <c r="L76" i="37"/>
  <c r="N76" i="37" s="1"/>
  <c r="L75" i="37"/>
  <c r="N75" i="37" s="1"/>
  <c r="L74" i="37"/>
  <c r="N74" i="37" s="1"/>
  <c r="L73" i="37"/>
  <c r="N73" i="37" s="1"/>
  <c r="L72" i="37"/>
  <c r="N72" i="37" s="1"/>
  <c r="L71" i="37"/>
  <c r="N71" i="37" s="1"/>
  <c r="L70" i="37"/>
  <c r="N70" i="37" s="1"/>
  <c r="L69" i="37"/>
  <c r="N69" i="37" s="1"/>
  <c r="L68" i="37"/>
  <c r="N68" i="37" s="1"/>
  <c r="L67" i="37"/>
  <c r="N67" i="37" s="1"/>
  <c r="L66" i="37"/>
  <c r="N66" i="37" s="1"/>
  <c r="L65" i="37"/>
  <c r="N65" i="37" s="1"/>
  <c r="L64" i="37"/>
  <c r="N64" i="37" s="1"/>
  <c r="L63" i="37"/>
  <c r="N63" i="37" s="1"/>
  <c r="L62" i="37"/>
  <c r="N62" i="37"/>
  <c r="L61" i="37"/>
  <c r="N61" i="37" s="1"/>
  <c r="L60" i="37"/>
  <c r="N60" i="37" s="1"/>
  <c r="L59" i="37"/>
  <c r="N59" i="37" s="1"/>
  <c r="L58" i="37"/>
  <c r="N58" i="37"/>
  <c r="L57" i="37"/>
  <c r="N57" i="37" s="1"/>
  <c r="L56" i="37"/>
  <c r="N56" i="37" s="1"/>
  <c r="L54" i="37"/>
  <c r="N54" i="37" s="1"/>
  <c r="L53" i="37"/>
  <c r="N53" i="37"/>
  <c r="L52" i="37"/>
  <c r="N52" i="37" s="1"/>
  <c r="L51" i="37"/>
  <c r="N51" i="37" s="1"/>
  <c r="L50" i="37"/>
  <c r="N50" i="37" s="1"/>
  <c r="L49" i="37"/>
  <c r="N49" i="37" s="1"/>
  <c r="L48" i="37"/>
  <c r="N48" i="37" s="1"/>
  <c r="L47" i="37"/>
  <c r="N47" i="37"/>
  <c r="L46" i="37"/>
  <c r="N46" i="37"/>
  <c r="L45" i="37"/>
  <c r="N45" i="37" s="1"/>
  <c r="L41" i="37"/>
  <c r="N41" i="37" s="1"/>
  <c r="L40" i="37"/>
  <c r="N40" i="37" s="1"/>
  <c r="L39" i="37"/>
  <c r="N39" i="37" s="1"/>
  <c r="L38" i="37"/>
  <c r="N38" i="37" s="1"/>
  <c r="L37" i="37"/>
  <c r="N37" i="37" s="1"/>
  <c r="L36" i="37"/>
  <c r="N36" i="37" s="1"/>
  <c r="L35" i="37"/>
  <c r="L33" i="37"/>
  <c r="N33" i="37" s="1"/>
  <c r="L32" i="37"/>
  <c r="N32" i="37" s="1"/>
  <c r="N31" i="37"/>
  <c r="L31" i="37"/>
  <c r="K26" i="37"/>
  <c r="J26" i="37"/>
  <c r="I26" i="37"/>
  <c r="H26" i="37"/>
  <c r="G26" i="37"/>
  <c r="F26" i="37"/>
  <c r="E26" i="37"/>
  <c r="D26" i="37"/>
  <c r="C26" i="37"/>
  <c r="L25" i="37"/>
  <c r="N25" i="37"/>
  <c r="L24" i="37"/>
  <c r="N24" i="37" s="1"/>
  <c r="L22" i="37"/>
  <c r="N22" i="37" s="1"/>
  <c r="L21" i="37"/>
  <c r="N21" i="37" s="1"/>
  <c r="L20" i="37"/>
  <c r="L19" i="37"/>
  <c r="N19" i="37" s="1"/>
  <c r="L18" i="37"/>
  <c r="N18" i="37" s="1"/>
  <c r="L15" i="37"/>
  <c r="N15" i="37" s="1"/>
  <c r="L13" i="37"/>
  <c r="N13" i="37" s="1"/>
  <c r="L12" i="37"/>
  <c r="N12" i="37" s="1"/>
  <c r="L11" i="37"/>
  <c r="L10" i="37"/>
  <c r="N10" i="37" s="1"/>
  <c r="N20" i="37"/>
  <c r="D138" i="37"/>
  <c r="N35" i="37"/>
  <c r="C165" i="49" l="1"/>
  <c r="O108" i="37"/>
  <c r="O65" i="37"/>
  <c r="O39" i="37"/>
  <c r="O98" i="37"/>
  <c r="O125" i="37"/>
  <c r="O128" i="37"/>
  <c r="O130" i="37"/>
  <c r="O76" i="37"/>
  <c r="O84" i="37"/>
  <c r="C151" i="37"/>
  <c r="O113" i="37"/>
  <c r="O119" i="37"/>
  <c r="O90" i="37"/>
  <c r="O54" i="37"/>
  <c r="O107" i="37"/>
  <c r="O66" i="37"/>
  <c r="O100" i="37"/>
  <c r="O105" i="37"/>
  <c r="O114" i="37"/>
  <c r="O85" i="37"/>
  <c r="O99" i="37"/>
  <c r="O60" i="37"/>
  <c r="O91" i="37"/>
  <c r="O53" i="37"/>
  <c r="O92" i="37"/>
  <c r="O75" i="37"/>
  <c r="O97" i="37"/>
  <c r="O106" i="37"/>
  <c r="O73" i="37"/>
  <c r="O93" i="37"/>
  <c r="O135" i="37"/>
  <c r="O79" i="37"/>
  <c r="O48" i="37"/>
  <c r="O57" i="37"/>
  <c r="O61" i="37"/>
  <c r="O88" i="37"/>
  <c r="O33" i="37"/>
  <c r="O127" i="37"/>
  <c r="O74" i="37"/>
  <c r="O40" i="37"/>
  <c r="O32" i="37"/>
  <c r="O38" i="37"/>
  <c r="O41" i="37"/>
  <c r="O46" i="37"/>
  <c r="O129" i="37"/>
  <c r="O109" i="37"/>
  <c r="O137" i="37"/>
  <c r="O115" i="37"/>
  <c r="O102" i="37"/>
  <c r="O89" i="37"/>
  <c r="O69" i="37"/>
  <c r="O111" i="37"/>
  <c r="O95" i="37"/>
  <c r="O71" i="37"/>
  <c r="O58" i="37"/>
  <c r="O104" i="37"/>
  <c r="O87" i="37"/>
  <c r="O67" i="37"/>
  <c r="O50" i="37"/>
  <c r="O37" i="37"/>
  <c r="O116" i="37"/>
  <c r="O72" i="37"/>
  <c r="O31" i="37"/>
  <c r="O36" i="37"/>
  <c r="O117" i="37"/>
  <c r="O118" i="37"/>
  <c r="O101" i="37"/>
  <c r="O124" i="37"/>
  <c r="O110" i="37"/>
  <c r="O94" i="37"/>
  <c r="O77" i="37"/>
  <c r="O59" i="37"/>
  <c r="O134" i="37"/>
  <c r="O103" i="37"/>
  <c r="O86" i="37"/>
  <c r="O64" i="37"/>
  <c r="O112" i="37"/>
  <c r="O96" i="37"/>
  <c r="O78" i="37"/>
  <c r="O56" i="37"/>
  <c r="O45" i="37"/>
  <c r="O83" i="37"/>
  <c r="O51" i="37"/>
  <c r="O35" i="37"/>
  <c r="O47" i="37"/>
  <c r="O49" i="37"/>
  <c r="O52" i="37"/>
  <c r="O70" i="37"/>
  <c r="O68" i="37"/>
  <c r="O126" i="37"/>
  <c r="O25" i="37"/>
  <c r="O18" i="37"/>
  <c r="O12" i="37"/>
  <c r="O13" i="37"/>
  <c r="O19" i="37"/>
  <c r="O24" i="37"/>
  <c r="C150" i="37"/>
  <c r="O20" i="37"/>
  <c r="O15" i="37"/>
  <c r="O10" i="37"/>
  <c r="O21" i="37"/>
  <c r="L138" i="37"/>
  <c r="N138" i="37"/>
  <c r="L26" i="37"/>
  <c r="N26" i="37"/>
  <c r="C152" i="37" l="1"/>
  <c r="C165" i="37" s="1"/>
  <c r="C167" i="37" l="1"/>
</calcChain>
</file>

<file path=xl/sharedStrings.xml><?xml version="1.0" encoding="utf-8"?>
<sst xmlns="http://schemas.openxmlformats.org/spreadsheetml/2006/main" count="3239" uniqueCount="286">
  <si>
    <t>ASOCIACIÓN DEPORTIVA NACIONAL DE TIRO CON ARMAS DE CAZA</t>
  </si>
  <si>
    <t>EJECUCIÓN PRESUPUESTARIA</t>
  </si>
  <si>
    <t>(Cifras expresadas en quetzales)</t>
  </si>
  <si>
    <t>No.</t>
  </si>
  <si>
    <t xml:space="preserve">DESCRIPCIÓN </t>
  </si>
  <si>
    <t>Presupuesto</t>
  </si>
  <si>
    <t>Modificación I</t>
  </si>
  <si>
    <t>Modificación II</t>
  </si>
  <si>
    <t xml:space="preserve">Disponible  o </t>
  </si>
  <si>
    <t>Porcen-</t>
  </si>
  <si>
    <t>Renglón</t>
  </si>
  <si>
    <t>Autorizado</t>
  </si>
  <si>
    <t>Aumento</t>
  </si>
  <si>
    <t>Disminución</t>
  </si>
  <si>
    <t>Vigente</t>
  </si>
  <si>
    <t>Pend. Recibir</t>
  </si>
  <si>
    <t>taje</t>
  </si>
  <si>
    <t>Modificación III</t>
  </si>
  <si>
    <t>11.9.90-01</t>
  </si>
  <si>
    <t>11.9.90-03</t>
  </si>
  <si>
    <t>11.9.90-04</t>
  </si>
  <si>
    <t>16.2.20-01</t>
  </si>
  <si>
    <t>Aporte CDAG Anual</t>
  </si>
  <si>
    <t>16.2.20-02</t>
  </si>
  <si>
    <t>16.2.20-03</t>
  </si>
  <si>
    <t>Aporte COG</t>
  </si>
  <si>
    <t>16.2.20-04</t>
  </si>
  <si>
    <t>Aporte Extraoridinario CDAG Juegos Nacionales</t>
  </si>
  <si>
    <t>11.9.90-02</t>
  </si>
  <si>
    <t>Impresión de boletaje</t>
  </si>
  <si>
    <t>16.2.20-05</t>
  </si>
  <si>
    <t>Aporte Extraordinario CDAG</t>
  </si>
  <si>
    <t>Aporte COG - SO</t>
  </si>
  <si>
    <t>TOTAL INGRESOS</t>
  </si>
  <si>
    <t>No. Ren.</t>
  </si>
  <si>
    <t>EGRESOS</t>
  </si>
  <si>
    <t>SERVICIOS  PERSONALES.</t>
  </si>
  <si>
    <t>011</t>
  </si>
  <si>
    <t>014</t>
  </si>
  <si>
    <t>015</t>
  </si>
  <si>
    <t>035</t>
  </si>
  <si>
    <t>Retribuciones a Destajo</t>
  </si>
  <si>
    <t>041</t>
  </si>
  <si>
    <t>051</t>
  </si>
  <si>
    <t>052</t>
  </si>
  <si>
    <t>071</t>
  </si>
  <si>
    <t>Aguinaldo</t>
  </si>
  <si>
    <t>072</t>
  </si>
  <si>
    <t>073</t>
  </si>
  <si>
    <t>Bono Vacacional</t>
  </si>
  <si>
    <t>SERVICIOS  NO  PERSONALES.</t>
  </si>
  <si>
    <t>Energía Eléctrica</t>
  </si>
  <si>
    <t>Telefonía</t>
  </si>
  <si>
    <t>Correos y Telégrafos</t>
  </si>
  <si>
    <t>Otros Viáticos y Gastos Conexos</t>
  </si>
  <si>
    <t>Fletes</t>
  </si>
  <si>
    <t>Almacenaje</t>
  </si>
  <si>
    <t>Derechos Bienes Intangibles</t>
  </si>
  <si>
    <t>Servicios de Capacitación</t>
  </si>
  <si>
    <t>Otros Estudios y Servicios</t>
  </si>
  <si>
    <t>Impuestos Derechos y Tasas</t>
  </si>
  <si>
    <t>MATERIALES Y SUMINISTROS.</t>
  </si>
  <si>
    <t>Alimentos para Personas</t>
  </si>
  <si>
    <t>Acabados Textiles</t>
  </si>
  <si>
    <t>Prendas de Vestir</t>
  </si>
  <si>
    <t>Papel de Escritorio</t>
  </si>
  <si>
    <t>Productos de Papel o Cartón</t>
  </si>
  <si>
    <t>Libros Revistas y Periódicos</t>
  </si>
  <si>
    <t>Artículos de Caucho</t>
  </si>
  <si>
    <t>Combustibles y Lubricantes</t>
  </si>
  <si>
    <t>Tintes, Pinturas y Colorantes</t>
  </si>
  <si>
    <t>Productos de Arcilla</t>
  </si>
  <si>
    <t>Cemento</t>
  </si>
  <si>
    <t>Estructuras Metálicas Acabadas</t>
  </si>
  <si>
    <t>Materiales y Equipos Diversos (Munic)</t>
  </si>
  <si>
    <t>Útiles de Oficina</t>
  </si>
  <si>
    <t>Útiles Deportivos y Recreativos</t>
  </si>
  <si>
    <t>Utiles de Cocina y Comedor</t>
  </si>
  <si>
    <t>Accesorios y Repuestos en General</t>
  </si>
  <si>
    <t>Otros Materiales y Suministros</t>
  </si>
  <si>
    <t>PROPIEDAD, PLANTA, EQUIPO E INTANGIBLES.</t>
  </si>
  <si>
    <t>323</t>
  </si>
  <si>
    <t>TRANSFERENCIAS CORRIENTES.</t>
  </si>
  <si>
    <t>Indemnizaciones al Personal</t>
  </si>
  <si>
    <t>RESUMEN</t>
  </si>
  <si>
    <t>Ejecución Presupuestaria</t>
  </si>
  <si>
    <t>Ingresos Percibidos</t>
  </si>
  <si>
    <t>Egresos Ejecutados</t>
  </si>
  <si>
    <t>Resultado del Ejercicio</t>
  </si>
  <si>
    <t>Rentas Consignadas</t>
  </si>
  <si>
    <t>PRESIDENTE</t>
  </si>
  <si>
    <t xml:space="preserve">TESORERO                       </t>
  </si>
  <si>
    <t>TOTAL EGRESOS</t>
  </si>
  <si>
    <t>111</t>
  </si>
  <si>
    <t>113</t>
  </si>
  <si>
    <t>114</t>
  </si>
  <si>
    <t>121</t>
  </si>
  <si>
    <t>122</t>
  </si>
  <si>
    <t>131</t>
  </si>
  <si>
    <t>135</t>
  </si>
  <si>
    <t>141</t>
  </si>
  <si>
    <t>142</t>
  </si>
  <si>
    <t>143</t>
  </si>
  <si>
    <t>158</t>
  </si>
  <si>
    <t>162</t>
  </si>
  <si>
    <t>164</t>
  </si>
  <si>
    <t>165</t>
  </si>
  <si>
    <t>168</t>
  </si>
  <si>
    <t>171</t>
  </si>
  <si>
    <t>174</t>
  </si>
  <si>
    <t>181</t>
  </si>
  <si>
    <t>183</t>
  </si>
  <si>
    <t>184</t>
  </si>
  <si>
    <t>185</t>
  </si>
  <si>
    <t>186</t>
  </si>
  <si>
    <t>187</t>
  </si>
  <si>
    <t>188</t>
  </si>
  <si>
    <t>189</t>
  </si>
  <si>
    <t>191</t>
  </si>
  <si>
    <t>194</t>
  </si>
  <si>
    <t>195</t>
  </si>
  <si>
    <t>196</t>
  </si>
  <si>
    <t>199</t>
  </si>
  <si>
    <t>211</t>
  </si>
  <si>
    <t>232</t>
  </si>
  <si>
    <t>233</t>
  </si>
  <si>
    <t>241</t>
  </si>
  <si>
    <t>243</t>
  </si>
  <si>
    <t>244</t>
  </si>
  <si>
    <t>245</t>
  </si>
  <si>
    <t>253</t>
  </si>
  <si>
    <t>254</t>
  </si>
  <si>
    <t>262</t>
  </si>
  <si>
    <t>266</t>
  </si>
  <si>
    <t>267</t>
  </si>
  <si>
    <t>268</t>
  </si>
  <si>
    <t>269</t>
  </si>
  <si>
    <t>271</t>
  </si>
  <si>
    <t>273</t>
  </si>
  <si>
    <t>283</t>
  </si>
  <si>
    <t>284</t>
  </si>
  <si>
    <t>285</t>
  </si>
  <si>
    <t>291</t>
  </si>
  <si>
    <t>292</t>
  </si>
  <si>
    <t>294</t>
  </si>
  <si>
    <t>296</t>
  </si>
  <si>
    <t>297</t>
  </si>
  <si>
    <t>298</t>
  </si>
  <si>
    <t>299</t>
  </si>
  <si>
    <t xml:space="preserve">Descuento Fianza de Fidelidad sueldos </t>
  </si>
  <si>
    <t>ISR Retenido Actividades Lucrativas</t>
  </si>
  <si>
    <t>ISR Retenido sobre rentas del trabajo</t>
  </si>
  <si>
    <t>IGSS Cuota Patronos, trabajadores  e Intecap por Pagar</t>
  </si>
  <si>
    <t>Servicios de Vigilancia</t>
  </si>
  <si>
    <t>Personal Permanente</t>
  </si>
  <si>
    <t>Complemento Calidad Profesional al Personal Permanente</t>
  </si>
  <si>
    <t>Complementos Específicos al Personal Permanente</t>
  </si>
  <si>
    <t>Servicios extraordinarios de personal permanente</t>
  </si>
  <si>
    <t>Aporte patronal al IGSS</t>
  </si>
  <si>
    <t>Aporte patronal al Intecap</t>
  </si>
  <si>
    <t>Bonificación Anual (Bono 14)</t>
  </si>
  <si>
    <t>Divulgación e Información</t>
  </si>
  <si>
    <t>Impresión, Encuadernación y Reproducción</t>
  </si>
  <si>
    <t>Viáticos en el Exterior</t>
  </si>
  <si>
    <t>Transporte de Personas</t>
  </si>
  <si>
    <t>Mantenimiento y Reparación de Equipo de Oficina</t>
  </si>
  <si>
    <t>Mantenimiento y Reparación de Equipos Educacionales y Recreativos</t>
  </si>
  <si>
    <t>Mantenimiento y Reparación de Medios de Transporte</t>
  </si>
  <si>
    <t>Mantenimiento y Reparación de Equipo de Cómputo</t>
  </si>
  <si>
    <t>Mantenimiento y Reparación de Edificios</t>
  </si>
  <si>
    <t>Mantenimiento y Reparación de Instalaciones</t>
  </si>
  <si>
    <t>Estudios, Invest. Proyectos Pre-Factibilidad y Factibilidad</t>
  </si>
  <si>
    <t>Servicios Jurídicos</t>
  </si>
  <si>
    <t>Servicios Económicos, Financieros, Contables y Auditoría</t>
  </si>
  <si>
    <t>Servicios de Informática y Sistemas Computarizados</t>
  </si>
  <si>
    <t>Servicios por Actuaciones Artísticas y Deportivas</t>
  </si>
  <si>
    <t>Servicios de Ingeniería, Arquitectura y Supervisión de Obras</t>
  </si>
  <si>
    <t>Primas y Gastos de Seguros y Fianzas</t>
  </si>
  <si>
    <t>Gastos Bancarios, Comisiones y Otros Gastos</t>
  </si>
  <si>
    <t>Servicios de Atención y Protocolo</t>
  </si>
  <si>
    <t>197</t>
  </si>
  <si>
    <t>Otros Servicios</t>
  </si>
  <si>
    <t>Otros Ingresos No Tributarios</t>
  </si>
  <si>
    <t>Cuota de afiliación</t>
  </si>
  <si>
    <t>Aporte donación de Socios para Cartuchos,Platillo y Otros</t>
  </si>
  <si>
    <t>Aporte donación de Jóvenes de Escuela de Vacaciones</t>
  </si>
  <si>
    <t>Rentas de la Propiedad</t>
  </si>
  <si>
    <t>15.1.30</t>
  </si>
  <si>
    <t>Disminución de Disponibilidades</t>
  </si>
  <si>
    <t>Saldo de Caja ASOTAC</t>
  </si>
  <si>
    <t>23.1.10-03</t>
  </si>
  <si>
    <t>23.1.10-01</t>
  </si>
  <si>
    <t>Saldo Caja Aporte Extra. CDAG</t>
  </si>
  <si>
    <t>Productos Agroforestales, Madera, Corcho y sus Manufacturas</t>
  </si>
  <si>
    <t>Piedra, Arcilla y Arena</t>
  </si>
  <si>
    <t>Otros Minerales</t>
  </si>
  <si>
    <t>Productos de Artes Gráficas</t>
  </si>
  <si>
    <t>Llantas y Neumáticos</t>
  </si>
  <si>
    <t>261</t>
  </si>
  <si>
    <t>Elementos y Compuestos Químicos</t>
  </si>
  <si>
    <t>Productos Medicinales y Farmacéuticos</t>
  </si>
  <si>
    <t>Productos Plásticos, Nylon, Vinil y PVC</t>
  </si>
  <si>
    <t>Otros Productos Químicos y Conexos</t>
  </si>
  <si>
    <t>Productos de Vidrio</t>
  </si>
  <si>
    <t>Productos de Loza y Porcelana</t>
  </si>
  <si>
    <t>Productos de Cemento, Pómez, Asbesto y Yeso</t>
  </si>
  <si>
    <t>Otros Productos de Minerales no Metálicos</t>
  </si>
  <si>
    <t>Productos Siderúrgicos</t>
  </si>
  <si>
    <t>Productos de Metal y sus Aleaciones</t>
  </si>
  <si>
    <t>Herramientas Menores</t>
  </si>
  <si>
    <t>Otros Productos Metálicos</t>
  </si>
  <si>
    <t>Productos Sanitarios, de Limpieza y de Uso Personal</t>
  </si>
  <si>
    <t>Materiales, Productos y Accesorios Eléctricos, Cableado Estructurado de Redes Informáticas y Telefónicas</t>
  </si>
  <si>
    <t>322</t>
  </si>
  <si>
    <t>Mobiliario y Equipo de Oficina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</si>
  <si>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</si>
  <si>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</si>
  <si>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</si>
  <si>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</si>
  <si>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</si>
  <si>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329</t>
  </si>
  <si>
    <t>Otras Maquinarias y Equipos</t>
  </si>
  <si>
    <t>332</t>
  </si>
  <si>
    <t>Construcciones de Bienes Nacionales de Uso no Común</t>
  </si>
  <si>
    <t>413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</si>
  <si>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</si>
  <si>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</si>
  <si>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</si>
  <si>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</si>
  <si>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</si>
  <si>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</si>
  <si>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MARCO ANTONIO GÓMEZ ESTRADA</t>
  </si>
  <si>
    <t>Aporte de Entidades Descentralizadas y Autónomas</t>
  </si>
  <si>
    <t>16</t>
  </si>
  <si>
    <t>TRANSFERENCIAS CORRIENTES</t>
  </si>
  <si>
    <t>16.2.20</t>
  </si>
  <si>
    <t>Por Depósitos (cuentas bancarias)</t>
  </si>
  <si>
    <t>Descuento Judicial Embargo Precautorio Toribio Del Cid</t>
  </si>
  <si>
    <t>Equipo de computación</t>
  </si>
  <si>
    <t>Servicios Médico - Sanitarios</t>
  </si>
  <si>
    <t>ELMER ARTURO VENTURA</t>
  </si>
  <si>
    <t xml:space="preserve">Mantenimiento y Reparación de Otras Maquinaria </t>
  </si>
  <si>
    <t>ING. JORGE AUGUSTO CONTRERAS ROLDÁN</t>
  </si>
  <si>
    <t>Modificación IV</t>
  </si>
  <si>
    <t>SALDO EN CAJA AL 31 DE DICIEMBRE DE 2020</t>
  </si>
  <si>
    <t>Implementos Deportivos</t>
  </si>
  <si>
    <t>Reembolso a Comité Olimpico Fondos 2021</t>
  </si>
  <si>
    <t>EJECUCION</t>
  </si>
  <si>
    <t xml:space="preserve">Descuento Boleto de ornato </t>
  </si>
  <si>
    <t xml:space="preserve">                COORDINADOR ADMINISTRATIVO FINANCIERO</t>
  </si>
  <si>
    <t>O29</t>
  </si>
  <si>
    <t>Otras remuneraciones de Personal Temporal</t>
  </si>
  <si>
    <t>Arrendamiento de Edificios y locales</t>
  </si>
  <si>
    <t>Rentas Consignadas Diciembre 2021</t>
  </si>
  <si>
    <t>DEL 01 DE ENERO AL 31 DE ENERO 2022</t>
  </si>
  <si>
    <t>Saldo en Caja al 31 de Diciembre de 2021</t>
  </si>
  <si>
    <t>SALDO EN CAJA AL 31 DE ENERO DE 2022</t>
  </si>
  <si>
    <t>DEL 01 DE ENERO AL 28 DE FEBRERO 2022</t>
  </si>
  <si>
    <t>SALDO EN CAJA AL 28 DE FEBRERO DE 2022</t>
  </si>
  <si>
    <t>Retencion Iva Factura Especial</t>
  </si>
  <si>
    <t>Cheque Anulado 77850450</t>
  </si>
  <si>
    <t>DEL 01 DE ENERO AL 31 DE MARZO 2022</t>
  </si>
  <si>
    <t>AUMENTO I</t>
  </si>
  <si>
    <t>SALDO EN CAJA AL 31 DE MARZO DE 2022</t>
  </si>
  <si>
    <t>DIANA BEATRIZ AMELIACALDERON VAZQUEZ</t>
  </si>
  <si>
    <t>GERENTE</t>
  </si>
  <si>
    <t>DEL 01 DE ENERO AL 30 DE ABRIL 2022</t>
  </si>
  <si>
    <t>SALDO EN CAJA AL 30 DE ABRIL DE 2022</t>
  </si>
  <si>
    <t>Devolución ISR Erasmo Lopez Maldonado</t>
  </si>
  <si>
    <t>IVA Facturas Especiales</t>
  </si>
  <si>
    <t>Reintegro cheque 87266509</t>
  </si>
  <si>
    <t>DEL 01 DE ENERO AL 31 DE MAYO 2022</t>
  </si>
  <si>
    <t>SALDO EN CAJA AL 31 DE MAYO DE 2022</t>
  </si>
  <si>
    <t>DEL 01 DE ENERO AL 30 DE JUNIO 2022</t>
  </si>
  <si>
    <t>SALDO EN CAJA AL 30 DE JUNIO DE 2022</t>
  </si>
  <si>
    <t>SALDO EN CAJA AL 31 DE AGOSTO DE 2022</t>
  </si>
  <si>
    <t>DEL 01 DE ENERO AL 31 DE AGOSTO 2022</t>
  </si>
  <si>
    <t>DEL 01 DE ENERO AL 30 DE SEPTIEMBRE 2022</t>
  </si>
  <si>
    <t>SALDO EN CAJA AL 30 DE SEPTIEMBRE DE 2022</t>
  </si>
  <si>
    <t>Descuento De mas planilla</t>
  </si>
  <si>
    <t>DEL 01 DE ENERO AL 31 DE OCTUBRE 2022</t>
  </si>
  <si>
    <t>SALDO EN CAJA AL 31 DE OCTUBRE DE 2022</t>
  </si>
  <si>
    <t>DEL 01 DE ENERO AL 30 DE NOVIEMBRE 2022</t>
  </si>
  <si>
    <t>SALDO EN CAJA AL 30 DE NOVIEMBRE DE 2022</t>
  </si>
  <si>
    <t>SALDO EN CAJA AL 31 DE DICIEMBRE DE 2022</t>
  </si>
  <si>
    <t>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</si>
</sst>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1.5"/>
      <name val="Arial"/>
      <family val="2"/>
    </font>
    <font>
      <sz val="5"/>
      <color theme="1"/>
      <name val="Arial"/>
      <family val="2"/>
    </font>
    <font>
      <sz val="11"/>
      <name val="Arial"/>
      <family val="2"/>
    </font>
    <font>
      <sz val="11.5"/>
      <color theme="0"/>
      <name val="Arial"/>
      <family val="2"/>
    </font>
    <font>
      <sz val="11.5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91">
    <xf numFmtId="0" fontId="0" fillId="0" borderId="0" xfId="0"/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43" fontId="3" fillId="0" borderId="4" xfId="0" applyNumberFormat="1" applyFont="1" applyBorder="1" applyAlignment="1">
      <alignment horizontal="centerContinuous"/>
    </xf>
    <xf numFmtId="43" fontId="4" fillId="0" borderId="0" xfId="0" applyNumberFormat="1" applyFont="1"/>
    <xf numFmtId="0" fontId="3" fillId="0" borderId="14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15" xfId="0" applyNumberFormat="1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43" fontId="4" fillId="0" borderId="7" xfId="0" applyNumberFormat="1" applyFont="1" applyBorder="1"/>
    <xf numFmtId="0" fontId="4" fillId="0" borderId="0" xfId="0" applyFont="1"/>
    <xf numFmtId="43" fontId="10" fillId="0" borderId="0" xfId="0" applyNumberFormat="1" applyFont="1"/>
    <xf numFmtId="0" fontId="4" fillId="0" borderId="0" xfId="0" applyFont="1" applyAlignment="1">
      <alignment horizontal="left" indent="7"/>
    </xf>
    <xf numFmtId="164" fontId="11" fillId="0" borderId="0" xfId="1" applyFont="1" applyFill="1"/>
    <xf numFmtId="164" fontId="4" fillId="0" borderId="0" xfId="0" applyNumberFormat="1" applyFont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164" fontId="5" fillId="0" borderId="11" xfId="1" applyFont="1" applyFill="1" applyBorder="1"/>
    <xf numFmtId="0" fontId="5" fillId="0" borderId="11" xfId="0" applyFont="1" applyBorder="1"/>
    <xf numFmtId="0" fontId="3" fillId="0" borderId="12" xfId="0" applyFont="1" applyBorder="1"/>
    <xf numFmtId="164" fontId="5" fillId="0" borderId="12" xfId="1" applyFont="1" applyFill="1" applyBorder="1"/>
    <xf numFmtId="9" fontId="5" fillId="0" borderId="12" xfId="2" applyFont="1" applyFill="1" applyBorder="1"/>
    <xf numFmtId="164" fontId="6" fillId="0" borderId="12" xfId="1" applyFont="1" applyFill="1" applyBorder="1"/>
    <xf numFmtId="0" fontId="4" fillId="0" borderId="12" xfId="0" applyFont="1" applyBorder="1"/>
    <xf numFmtId="0" fontId="4" fillId="0" borderId="13" xfId="0" applyFont="1" applyBorder="1"/>
    <xf numFmtId="164" fontId="6" fillId="0" borderId="13" xfId="1" applyFont="1" applyFill="1" applyBorder="1"/>
    <xf numFmtId="0" fontId="4" fillId="0" borderId="1" xfId="0" applyFont="1" applyBorder="1"/>
    <xf numFmtId="0" fontId="3" fillId="0" borderId="1" xfId="0" applyFont="1" applyBorder="1"/>
    <xf numFmtId="164" fontId="5" fillId="0" borderId="1" xfId="1" applyFont="1" applyFill="1" applyBorder="1"/>
    <xf numFmtId="0" fontId="4" fillId="0" borderId="11" xfId="0" applyFont="1" applyBorder="1"/>
    <xf numFmtId="164" fontId="6" fillId="0" borderId="11" xfId="1" applyFont="1" applyFill="1" applyBorder="1"/>
    <xf numFmtId="9" fontId="6" fillId="0" borderId="11" xfId="2" applyFont="1" applyFill="1" applyBorder="1"/>
    <xf numFmtId="9" fontId="6" fillId="0" borderId="12" xfId="2" applyFont="1" applyFill="1" applyBorder="1"/>
    <xf numFmtId="0" fontId="7" fillId="0" borderId="12" xfId="0" applyFont="1" applyBorder="1" applyAlignment="1">
      <alignment horizontal="left" indent="2"/>
    </xf>
    <xf numFmtId="0" fontId="7" fillId="0" borderId="12" xfId="0" applyFont="1" applyBorder="1"/>
    <xf numFmtId="0" fontId="4" fillId="0" borderId="12" xfId="0" applyFont="1" applyBorder="1" applyAlignment="1">
      <alignment horizontal="left" indent="2"/>
    </xf>
    <xf numFmtId="0" fontId="8" fillId="0" borderId="12" xfId="0" applyFont="1" applyBorder="1" applyAlignment="1">
      <alignment horizontal="left" indent="2"/>
    </xf>
    <xf numFmtId="0" fontId="8" fillId="0" borderId="12" xfId="0" applyFont="1" applyBorder="1"/>
    <xf numFmtId="164" fontId="9" fillId="0" borderId="12" xfId="1" applyFont="1" applyFill="1" applyBorder="1"/>
    <xf numFmtId="9" fontId="6" fillId="0" borderId="1" xfId="2" applyFont="1" applyFill="1" applyBorder="1"/>
    <xf numFmtId="0" fontId="4" fillId="0" borderId="0" xfId="0" applyFont="1" applyAlignment="1">
      <alignment horizontal="left" indent="2"/>
    </xf>
    <xf numFmtId="43" fontId="2" fillId="0" borderId="0" xfId="0" applyNumberFormat="1" applyFont="1"/>
    <xf numFmtId="0" fontId="8" fillId="0" borderId="2" xfId="0" applyFont="1" applyBorder="1"/>
    <xf numFmtId="0" fontId="8" fillId="0" borderId="3" xfId="0" applyFont="1" applyBorder="1"/>
    <xf numFmtId="164" fontId="8" fillId="0" borderId="4" xfId="0" applyNumberFormat="1" applyFont="1" applyBorder="1"/>
    <xf numFmtId="0" fontId="12" fillId="0" borderId="14" xfId="0" applyFont="1" applyBorder="1" applyAlignment="1">
      <alignment horizontal="left" indent="1"/>
    </xf>
    <xf numFmtId="0" fontId="8" fillId="0" borderId="0" xfId="0" applyFont="1"/>
    <xf numFmtId="164" fontId="8" fillId="0" borderId="15" xfId="0" applyNumberFormat="1" applyFont="1" applyBorder="1"/>
    <xf numFmtId="0" fontId="8" fillId="0" borderId="14" xfId="0" applyFont="1" applyBorder="1" applyAlignment="1">
      <alignment horizontal="left" indent="1"/>
    </xf>
    <xf numFmtId="0" fontId="13" fillId="0" borderId="14" xfId="0" applyFont="1" applyBorder="1" applyAlignment="1">
      <alignment horizontal="left" indent="1"/>
    </xf>
    <xf numFmtId="0" fontId="13" fillId="0" borderId="0" xfId="0" applyFont="1"/>
    <xf numFmtId="0" fontId="13" fillId="0" borderId="5" xfId="0" applyFont="1" applyBorder="1" applyAlignment="1">
      <alignment horizontal="left" indent="1"/>
    </xf>
    <xf numFmtId="0" fontId="13" fillId="0" borderId="6" xfId="0" applyFont="1" applyBorder="1"/>
    <xf numFmtId="164" fontId="4" fillId="0" borderId="0" xfId="1" applyFont="1" applyFill="1"/>
    <xf numFmtId="0" fontId="13" fillId="0" borderId="0" xfId="0" applyFont="1" applyAlignment="1">
      <alignment horizontal="centerContinuous"/>
    </xf>
    <xf numFmtId="0" fontId="13" fillId="0" borderId="1" xfId="0" applyFont="1" applyBorder="1" applyAlignment="1">
      <alignment horizontal="center"/>
    </xf>
    <xf numFmtId="164" fontId="9" fillId="0" borderId="11" xfId="1" applyFont="1" applyFill="1" applyBorder="1"/>
    <xf numFmtId="164" fontId="9" fillId="0" borderId="13" xfId="1" applyFont="1" applyFill="1" applyBorder="1"/>
    <xf numFmtId="164" fontId="14" fillId="0" borderId="1" xfId="1" applyFont="1" applyFill="1" applyBorder="1"/>
    <xf numFmtId="43" fontId="16" fillId="0" borderId="0" xfId="0" applyNumberFormat="1" applyFont="1"/>
    <xf numFmtId="43" fontId="8" fillId="0" borderId="0" xfId="0" applyNumberFormat="1" applyFont="1"/>
    <xf numFmtId="164" fontId="8" fillId="0" borderId="0" xfId="1" applyFont="1" applyFill="1"/>
    <xf numFmtId="164" fontId="14" fillId="0" borderId="7" xfId="1" applyFont="1" applyFill="1" applyBorder="1"/>
    <xf numFmtId="164" fontId="9" fillId="0" borderId="15" xfId="1" applyFont="1" applyFill="1" applyBorder="1"/>
    <xf numFmtId="164" fontId="9" fillId="0" borderId="16" xfId="1" applyFont="1" applyFill="1" applyBorder="1"/>
    <xf numFmtId="164" fontId="14" fillId="0" borderId="15" xfId="1" applyFont="1" applyFill="1" applyBorder="1"/>
    <xf numFmtId="164" fontId="14" fillId="0" borderId="16" xfId="1" applyFont="1" applyFill="1" applyBorder="1"/>
    <xf numFmtId="0" fontId="13" fillId="0" borderId="9" xfId="0" applyFont="1" applyBorder="1" applyAlignment="1">
      <alignment horizontal="center"/>
    </xf>
    <xf numFmtId="0" fontId="8" fillId="0" borderId="0" xfId="0" applyFont="1" applyAlignment="1">
      <alignment horizontal="left" indent="7"/>
    </xf>
    <xf numFmtId="0" fontId="4" fillId="0" borderId="3" xfId="0" applyFont="1" applyBorder="1"/>
    <xf numFmtId="164" fontId="15" fillId="0" borderId="3" xfId="0" applyNumberFormat="1" applyFont="1" applyBorder="1"/>
    <xf numFmtId="164" fontId="6" fillId="0" borderId="3" xfId="1" applyFont="1" applyFill="1" applyBorder="1"/>
    <xf numFmtId="164" fontId="17" fillId="0" borderId="12" xfId="1" applyFont="1" applyFill="1" applyBorder="1"/>
    <xf numFmtId="43" fontId="4" fillId="0" borderId="14" xfId="0" applyNumberFormat="1" applyFont="1" applyBorder="1"/>
    <xf numFmtId="164" fontId="9" fillId="0" borderId="14" xfId="1" applyFont="1" applyFill="1" applyBorder="1"/>
    <xf numFmtId="164" fontId="18" fillId="0" borderId="14" xfId="1" applyFont="1" applyFill="1" applyBorder="1"/>
    <xf numFmtId="43" fontId="19" fillId="0" borderId="0" xfId="0" applyNumberFormat="1" applyFont="1"/>
    <xf numFmtId="0" fontId="8" fillId="0" borderId="0" xfId="0" applyFont="1" applyAlignment="1">
      <alignment horizontal="left" indent="1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00"/>
      <color rgb="FF6666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3"/>
  <sheetViews>
    <sheetView zoomScaleNormal="100" workbookViewId="0">
      <selection activeCell="C13" sqref="C13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254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6</v>
      </c>
      <c r="E6" s="19"/>
      <c r="F6" s="18" t="s">
        <v>7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v>15000</v>
      </c>
      <c r="N10" s="29">
        <f t="shared" ref="N10:N22" si="1">L10-M10</f>
        <v>22000</v>
      </c>
      <c r="O10" s="28">
        <f>M10/$M$26</f>
        <v>5.641227625904021E-2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/>
      <c r="N12" s="29">
        <f t="shared" si="1"/>
        <v>30500</v>
      </c>
      <c r="O12" s="28">
        <f>M12/$M$26</f>
        <v>0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v>1190.19</v>
      </c>
      <c r="N15" s="29">
        <f t="shared" si="1"/>
        <v>7609.8099999999995</v>
      </c>
      <c r="O15" s="28">
        <f>M15/$M$26</f>
        <v>4.4760884720498042E-3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/>
      <c r="E18" s="29"/>
      <c r="F18" s="29"/>
      <c r="G18" s="29"/>
      <c r="H18" s="29"/>
      <c r="I18" s="29"/>
      <c r="J18" s="45"/>
      <c r="K18" s="45"/>
      <c r="L18" s="29">
        <f t="shared" si="0"/>
        <v>3241296.44</v>
      </c>
      <c r="M18" s="29">
        <v>249709.38</v>
      </c>
      <c r="N18" s="29">
        <f t="shared" si="1"/>
        <v>2991587.06</v>
      </c>
      <c r="O18" s="28">
        <f>M18/$M$26</f>
        <v>0.93911163526890995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/>
      <c r="N20" s="29">
        <f t="shared" si="1"/>
        <v>2685493.4</v>
      </c>
      <c r="O20" s="28">
        <f>M20/$M$26</f>
        <v>0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/>
      <c r="N22" s="29">
        <f t="shared" si="1"/>
        <v>50000</v>
      </c>
      <c r="O22" s="28">
        <f>M22/$M$26</f>
        <v>0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0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7829870.54</v>
      </c>
      <c r="M26" s="35">
        <f>SUM(M10:M25)</f>
        <v>265899.57</v>
      </c>
      <c r="N26" s="35">
        <f t="shared" si="2"/>
        <v>7563970.9699999997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v>62454.400000000001</v>
      </c>
      <c r="N31" s="29">
        <f t="shared" ref="N31:N99" si="3">L31-M31</f>
        <v>752117.64</v>
      </c>
      <c r="O31" s="39">
        <f>M31/$M$138</f>
        <v>0.52348215747295868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v>1125</v>
      </c>
      <c r="N32" s="29">
        <f t="shared" si="3"/>
        <v>12575</v>
      </c>
      <c r="O32" s="39">
        <f>M32/$M$138</f>
        <v>9.4295586404973628E-3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v>22349</v>
      </c>
      <c r="N33" s="29">
        <f t="shared" si="3"/>
        <v>288751</v>
      </c>
      <c r="O33" s="39">
        <f>M33/$M$138</f>
        <v>0.18732551649464496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/>
      <c r="H34" s="29"/>
      <c r="I34" s="29"/>
      <c r="J34" s="45"/>
      <c r="K34" s="45"/>
      <c r="L34" s="29"/>
      <c r="M34" s="29"/>
      <c r="N34" s="29"/>
      <c r="O34" s="39"/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/>
      <c r="N36" s="29">
        <f t="shared" si="3"/>
        <v>34510.800000000003</v>
      </c>
      <c r="O36" s="39">
        <f t="shared" si="5"/>
        <v>0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v>6663.88</v>
      </c>
      <c r="N37" s="29">
        <f t="shared" si="3"/>
        <v>80737.26999999999</v>
      </c>
      <c r="O37" s="39">
        <f t="shared" si="5"/>
        <v>5.5855508651766729E-2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v>624.54</v>
      </c>
      <c r="N38" s="29">
        <f t="shared" si="3"/>
        <v>7566.3</v>
      </c>
      <c r="O38" s="39">
        <f t="shared" si="5"/>
        <v>5.2347880474099759E-3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/>
      <c r="N39" s="29">
        <f t="shared" si="3"/>
        <v>67581.009999999995</v>
      </c>
      <c r="O39" s="39">
        <f t="shared" si="5"/>
        <v>0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/>
      <c r="N40" s="29">
        <f t="shared" si="3"/>
        <v>67581.009999999995</v>
      </c>
      <c r="O40" s="39">
        <f t="shared" si="5"/>
        <v>0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/>
      <c r="N41" s="29">
        <f t="shared" si="3"/>
        <v>4400</v>
      </c>
      <c r="O41" s="39">
        <f t="shared" si="5"/>
        <v>0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v>465.85</v>
      </c>
      <c r="N45" s="29">
        <f t="shared" si="3"/>
        <v>13284.15</v>
      </c>
      <c r="O45" s="39">
        <f t="shared" ref="O45:O54" si="7">M45/$M$138</f>
        <v>3.9046754601561751E-3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v>4700.8900000000003</v>
      </c>
      <c r="N46" s="29">
        <f t="shared" si="3"/>
        <v>21399.11</v>
      </c>
      <c r="O46" s="39">
        <f t="shared" si="7"/>
        <v>3.9402060371135687E-2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/>
      <c r="N48" s="29">
        <f t="shared" si="3"/>
        <v>8000</v>
      </c>
      <c r="O48" s="39">
        <f t="shared" si="7"/>
        <v>0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v>15</v>
      </c>
      <c r="N49" s="29">
        <f t="shared" si="3"/>
        <v>14235</v>
      </c>
      <c r="O49" s="39">
        <f t="shared" si="7"/>
        <v>1.2572744853996484E-4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/>
      <c r="N50" s="29">
        <f t="shared" si="3"/>
        <v>673088.47</v>
      </c>
      <c r="O50" s="39">
        <f t="shared" si="7"/>
        <v>0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/>
      <c r="N51" s="29">
        <f t="shared" si="3"/>
        <v>563742.69999999995</v>
      </c>
      <c r="O51" s="39">
        <f t="shared" si="7"/>
        <v>0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/>
      <c r="H52" s="29"/>
      <c r="I52" s="29"/>
      <c r="J52" s="45"/>
      <c r="K52" s="45"/>
      <c r="L52" s="29">
        <f t="shared" si="6"/>
        <v>600985.37</v>
      </c>
      <c r="M52" s="29">
        <v>10463.32</v>
      </c>
      <c r="N52" s="29">
        <f t="shared" si="3"/>
        <v>590522.05000000005</v>
      </c>
      <c r="O52" s="39">
        <f t="shared" si="7"/>
        <v>8.7701768457145654E-2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/>
      <c r="N53" s="29">
        <f t="shared" si="3"/>
        <v>225000</v>
      </c>
      <c r="O53" s="39">
        <f t="shared" si="7"/>
        <v>0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/>
      <c r="N54" s="29">
        <f t="shared" si="3"/>
        <v>75000</v>
      </c>
      <c r="O54" s="39">
        <f t="shared" si="7"/>
        <v>0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/>
      <c r="N55" s="29">
        <f t="shared" si="3"/>
        <v>90000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/>
      <c r="N56" s="29">
        <f t="shared" si="3"/>
        <v>4400</v>
      </c>
      <c r="O56" s="39">
        <f t="shared" ref="O56:O61" si="8">M56/$M$138</f>
        <v>0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/>
      <c r="N58" s="29">
        <f t="shared" si="3"/>
        <v>7750</v>
      </c>
      <c r="O58" s="39">
        <f t="shared" si="8"/>
        <v>0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/>
      <c r="N59" s="29">
        <f t="shared" si="3"/>
        <v>7000</v>
      </c>
      <c r="O59" s="39">
        <f t="shared" si="8"/>
        <v>0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/>
      <c r="N60" s="29">
        <f t="shared" si="3"/>
        <v>14000</v>
      </c>
      <c r="O60" s="39">
        <f t="shared" si="8"/>
        <v>0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/>
      <c r="E63" s="29"/>
      <c r="F63" s="45"/>
      <c r="G63" s="45"/>
      <c r="H63" s="29"/>
      <c r="I63" s="29"/>
      <c r="J63" s="45"/>
      <c r="K63" s="45"/>
      <c r="L63" s="29">
        <f t="shared" si="6"/>
        <v>10000</v>
      </c>
      <c r="M63" s="29"/>
      <c r="N63" s="29">
        <f t="shared" si="3"/>
        <v>10000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/>
      <c r="E64" s="29"/>
      <c r="F64" s="45"/>
      <c r="G64" s="45"/>
      <c r="H64" s="29"/>
      <c r="I64" s="29"/>
      <c r="J64" s="45"/>
      <c r="K64" s="45"/>
      <c r="L64" s="29">
        <f t="shared" si="6"/>
        <v>15750</v>
      </c>
      <c r="M64" s="29"/>
      <c r="N64" s="29">
        <f t="shared" si="3"/>
        <v>15750</v>
      </c>
      <c r="O64" s="39">
        <f t="shared" ref="O64:O79" si="9">M64/$M$138</f>
        <v>0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/>
      <c r="N67" s="29">
        <f t="shared" si="3"/>
        <v>54000</v>
      </c>
      <c r="O67" s="39">
        <f t="shared" si="9"/>
        <v>0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v>4500</v>
      </c>
      <c r="N68" s="29">
        <f t="shared" si="3"/>
        <v>49500</v>
      </c>
      <c r="O68" s="39">
        <f t="shared" si="9"/>
        <v>3.7718234561989451E-2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/>
      <c r="N69" s="29">
        <f t="shared" si="3"/>
        <v>7500</v>
      </c>
      <c r="O69" s="39">
        <f t="shared" si="9"/>
        <v>0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v>650</v>
      </c>
      <c r="N70" s="29">
        <f t="shared" si="3"/>
        <v>23890</v>
      </c>
      <c r="O70" s="39">
        <f t="shared" si="9"/>
        <v>5.4481894367318096E-3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/>
      <c r="G71" s="45"/>
      <c r="H71" s="29"/>
      <c r="I71" s="29"/>
      <c r="J71" s="45"/>
      <c r="K71" s="45"/>
      <c r="L71" s="29">
        <f t="shared" si="6"/>
        <v>20500</v>
      </c>
      <c r="M71" s="29"/>
      <c r="N71" s="29">
        <f t="shared" si="3"/>
        <v>20500</v>
      </c>
      <c r="O71" s="39">
        <f t="shared" si="9"/>
        <v>0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/>
      <c r="H73" s="29"/>
      <c r="I73" s="29"/>
      <c r="J73" s="45"/>
      <c r="K73" s="45"/>
      <c r="L73" s="29">
        <f t="shared" si="6"/>
        <v>576000</v>
      </c>
      <c r="M73" s="29"/>
      <c r="N73" s="29">
        <f t="shared" si="3"/>
        <v>576000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/>
      <c r="N74" s="29">
        <f t="shared" si="3"/>
        <v>8250</v>
      </c>
      <c r="O74" s="39">
        <f t="shared" si="9"/>
        <v>0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v>50.36</v>
      </c>
      <c r="N75" s="29">
        <f t="shared" si="3"/>
        <v>2449.64</v>
      </c>
      <c r="O75" s="39">
        <f t="shared" si="9"/>
        <v>4.2210895389817527E-4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/>
      <c r="E76" s="29"/>
      <c r="F76" s="45"/>
      <c r="G76" s="45"/>
      <c r="H76" s="29"/>
      <c r="I76" s="29"/>
      <c r="J76" s="45"/>
      <c r="K76" s="45"/>
      <c r="L76" s="29">
        <f t="shared" si="6"/>
        <v>50000</v>
      </c>
      <c r="M76" s="29">
        <v>30</v>
      </c>
      <c r="N76" s="29">
        <f t="shared" si="3"/>
        <v>49970</v>
      </c>
      <c r="O76" s="39">
        <f t="shared" si="9"/>
        <v>2.5145489707992968E-4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v>80</v>
      </c>
      <c r="N79" s="29">
        <f t="shared" si="3"/>
        <v>50920</v>
      </c>
      <c r="O79" s="39">
        <f t="shared" si="9"/>
        <v>6.705463922131458E-4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/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146784.1</v>
      </c>
      <c r="M83" s="29">
        <v>782.3</v>
      </c>
      <c r="N83" s="29">
        <f t="shared" si="3"/>
        <v>146001.80000000002</v>
      </c>
      <c r="O83" s="39">
        <f t="shared" ref="O83:O119" si="11">M83/$M$138</f>
        <v>6.5571055328542995E-3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/>
      <c r="N87" s="29">
        <f t="shared" si="3"/>
        <v>5000</v>
      </c>
      <c r="O87" s="39">
        <f t="shared" si="11"/>
        <v>0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/>
      <c r="N88" s="29">
        <f t="shared" si="3"/>
        <v>33800</v>
      </c>
      <c r="O88" s="39">
        <f t="shared" si="11"/>
        <v>0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v>506.3</v>
      </c>
      <c r="N89" s="29">
        <f t="shared" si="3"/>
        <v>4743.7</v>
      </c>
      <c r="O89" s="39">
        <f t="shared" si="11"/>
        <v>4.2437204797189463E-3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v>941.5</v>
      </c>
      <c r="N90" s="29">
        <f t="shared" si="3"/>
        <v>9558.5</v>
      </c>
      <c r="O90" s="39">
        <f t="shared" si="11"/>
        <v>7.8914928533584602E-3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v>69.8</v>
      </c>
      <c r="N91" s="29">
        <f t="shared" si="3"/>
        <v>2980.2</v>
      </c>
      <c r="O91" s="39">
        <f t="shared" si="11"/>
        <v>5.8505172720596966E-4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/>
      <c r="N93" s="29">
        <f t="shared" si="3"/>
        <v>5500</v>
      </c>
      <c r="O93" s="39">
        <f t="shared" si="11"/>
        <v>0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/>
      <c r="N94" s="29">
        <f t="shared" si="3"/>
        <v>2700</v>
      </c>
      <c r="O94" s="39">
        <f t="shared" si="11"/>
        <v>0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/>
      <c r="N95" s="29">
        <f t="shared" si="3"/>
        <v>2800</v>
      </c>
      <c r="O95" s="39">
        <f t="shared" si="11"/>
        <v>0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v>460</v>
      </c>
      <c r="N96" s="29">
        <f t="shared" si="3"/>
        <v>8040</v>
      </c>
      <c r="O96" s="39">
        <f t="shared" si="11"/>
        <v>3.8556417552255886E-3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/>
      <c r="N97" s="29">
        <f t="shared" si="3"/>
        <v>6000</v>
      </c>
      <c r="O97" s="39">
        <f t="shared" si="11"/>
        <v>0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v>750</v>
      </c>
      <c r="N98" s="29">
        <f t="shared" si="3"/>
        <v>16750</v>
      </c>
      <c r="O98" s="39">
        <f t="shared" si="11"/>
        <v>6.2863724269982425E-3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v>198.75</v>
      </c>
      <c r="N99" s="29">
        <f t="shared" si="3"/>
        <v>2801.25</v>
      </c>
      <c r="O99" s="39">
        <f t="shared" si="11"/>
        <v>1.6658886931545341E-3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v>139</v>
      </c>
      <c r="N100" s="29">
        <f t="shared" ref="N100:N137" si="12">L100-M100</f>
        <v>1361</v>
      </c>
      <c r="O100" s="39">
        <f t="shared" si="11"/>
        <v>1.1650743564703408E-3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/>
      <c r="E101" s="29"/>
      <c r="F101" s="45"/>
      <c r="G101" s="45"/>
      <c r="H101" s="29"/>
      <c r="I101" s="29"/>
      <c r="J101" s="45"/>
      <c r="K101" s="45"/>
      <c r="L101" s="29">
        <f t="shared" si="10"/>
        <v>200000</v>
      </c>
      <c r="M101" s="29"/>
      <c r="N101" s="29">
        <f t="shared" si="12"/>
        <v>200000</v>
      </c>
      <c r="O101" s="39">
        <f t="shared" si="11"/>
        <v>0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/>
      <c r="N104" s="29">
        <f t="shared" si="12"/>
        <v>1500</v>
      </c>
      <c r="O104" s="39">
        <f t="shared" si="11"/>
        <v>0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/>
      <c r="N106" s="29">
        <f t="shared" si="12"/>
        <v>750</v>
      </c>
      <c r="O106" s="39">
        <f t="shared" si="11"/>
        <v>0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/>
      <c r="N108" s="29">
        <f t="shared" si="12"/>
        <v>4800</v>
      </c>
      <c r="O108" s="39">
        <f t="shared" si="11"/>
        <v>0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/>
      <c r="N109" s="29">
        <f t="shared" si="12"/>
        <v>28800</v>
      </c>
      <c r="O109" s="39">
        <f t="shared" si="11"/>
        <v>0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/>
      <c r="E110" s="29"/>
      <c r="F110" s="45"/>
      <c r="G110" s="45"/>
      <c r="H110" s="29"/>
      <c r="I110" s="29"/>
      <c r="J110" s="45"/>
      <c r="K110" s="45"/>
      <c r="L110" s="29">
        <f t="shared" si="10"/>
        <v>900000</v>
      </c>
      <c r="M110" s="29"/>
      <c r="N110" s="29">
        <f t="shared" si="12"/>
        <v>900000</v>
      </c>
      <c r="O110" s="39">
        <f t="shared" si="11"/>
        <v>0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v>98</v>
      </c>
      <c r="N111" s="29">
        <f t="shared" si="12"/>
        <v>1402</v>
      </c>
      <c r="O111" s="39">
        <f t="shared" si="11"/>
        <v>8.2141933046110368E-4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v>150.80000000000001</v>
      </c>
      <c r="N113" s="29">
        <f t="shared" si="12"/>
        <v>6449.2</v>
      </c>
      <c r="O113" s="39">
        <f t="shared" si="11"/>
        <v>1.26397994932178E-3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/>
      <c r="N114" s="29">
        <f t="shared" si="12"/>
        <v>4000</v>
      </c>
      <c r="O114" s="39">
        <f t="shared" si="11"/>
        <v>0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/>
      <c r="N115" s="29">
        <f t="shared" si="12"/>
        <v>25251.9</v>
      </c>
      <c r="O115" s="39">
        <f t="shared" si="11"/>
        <v>0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/>
      <c r="N117" s="29">
        <f t="shared" si="12"/>
        <v>9500</v>
      </c>
      <c r="O117" s="39">
        <f t="shared" si="11"/>
        <v>0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/>
      <c r="N118" s="29">
        <f t="shared" si="12"/>
        <v>76000</v>
      </c>
      <c r="O118" s="39">
        <f t="shared" si="11"/>
        <v>0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v>287</v>
      </c>
      <c r="N119" s="29">
        <f t="shared" si="12"/>
        <v>9213</v>
      </c>
      <c r="O119" s="39">
        <f t="shared" si="11"/>
        <v>2.4055851820646607E-3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/>
      <c r="N124" s="29">
        <f t="shared" si="12"/>
        <v>10000</v>
      </c>
      <c r="O124" s="39">
        <f>M124/$M$138</f>
        <v>0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/>
      <c r="N128" s="29">
        <f t="shared" si="12"/>
        <v>40000</v>
      </c>
      <c r="O128" s="39">
        <f>+M128/M138</f>
        <v>0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/>
      <c r="N129" s="29">
        <f t="shared" si="12"/>
        <v>14300</v>
      </c>
      <c r="O129" s="39">
        <f>M129/$M$138</f>
        <v>0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/>
      <c r="N134" s="29">
        <f t="shared" si="12"/>
        <v>185900</v>
      </c>
      <c r="O134" s="39">
        <f>M134/$M$138</f>
        <v>0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/>
      <c r="N135" s="29">
        <f t="shared" si="12"/>
        <v>7170</v>
      </c>
      <c r="O135" s="39">
        <f>M135/$M$138</f>
        <v>0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v>750</v>
      </c>
      <c r="N136" s="29">
        <f t="shared" si="12"/>
        <v>69250</v>
      </c>
      <c r="O136" s="39">
        <f>M136/$M$138</f>
        <v>6.2863724269982425E-3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/>
      <c r="N137" s="29">
        <f t="shared" si="12"/>
        <v>8750</v>
      </c>
      <c r="O137" s="39">
        <f>M137/$M$138</f>
        <v>0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0</v>
      </c>
      <c r="E138" s="35">
        <f t="shared" si="14"/>
        <v>0</v>
      </c>
      <c r="F138" s="35">
        <f t="shared" si="14"/>
        <v>0</v>
      </c>
      <c r="G138" s="35">
        <f t="shared" si="14"/>
        <v>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 t="shared" si="14"/>
        <v>7183070.540000001</v>
      </c>
      <c r="M138" s="35">
        <f t="shared" si="14"/>
        <v>119305.69000000002</v>
      </c>
      <c r="N138" s="35">
        <f t="shared" si="14"/>
        <v>7063764.8500000006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245</v>
      </c>
      <c r="B148" s="53"/>
      <c r="C148" s="70"/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/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265899.57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-119305.69000000002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2205140.46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/>
      <c r="D156" s="4"/>
      <c r="E156" s="4"/>
      <c r="F156" s="4"/>
      <c r="G156" s="4"/>
      <c r="H156" s="4"/>
      <c r="I156" s="4"/>
      <c r="J156" s="67"/>
      <c r="K156" s="67"/>
      <c r="L156" s="4"/>
    </row>
    <row r="157" spans="1:12" x14ac:dyDescent="0.2">
      <c r="A157" s="55" t="s">
        <v>152</v>
      </c>
      <c r="B157" s="53"/>
      <c r="C157" s="70">
        <f>6663.88+3016.55+624.54</f>
        <v>10304.970000000001</v>
      </c>
      <c r="D157" s="80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151</v>
      </c>
      <c r="B158" s="53"/>
      <c r="C158" s="70">
        <v>1926.41</v>
      </c>
      <c r="D158" s="81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150</v>
      </c>
      <c r="B159" s="53"/>
      <c r="C159" s="70">
        <v>182.4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237</v>
      </c>
      <c r="B160" s="53"/>
      <c r="C160" s="70">
        <v>14117.56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/>
      <c r="B161" s="53"/>
      <c r="C161" s="71"/>
      <c r="D161" s="82"/>
      <c r="E161" s="83"/>
      <c r="F161" s="4"/>
      <c r="G161" s="4"/>
      <c r="H161" s="4"/>
      <c r="I161" s="4"/>
      <c r="J161" s="67"/>
      <c r="K161" s="67"/>
      <c r="L161" s="4"/>
    </row>
    <row r="162" spans="1:13" ht="15.75" x14ac:dyDescent="0.25">
      <c r="A162" s="56"/>
      <c r="B162" s="57"/>
      <c r="C162" s="72">
        <f>SUM(C155:C161)</f>
        <v>26803.34</v>
      </c>
      <c r="D162" s="82"/>
      <c r="E162" s="83"/>
      <c r="F162" s="4"/>
      <c r="G162" s="4"/>
      <c r="H162" s="4"/>
      <c r="I162" s="4"/>
      <c r="J162" s="67"/>
      <c r="K162" s="67"/>
      <c r="L162" s="4"/>
    </row>
    <row r="163" spans="1:13" ht="2.1" customHeight="1" x14ac:dyDescent="0.25">
      <c r="A163" s="56"/>
      <c r="B163" s="57"/>
      <c r="C163" s="73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0"/>
      <c r="D164" s="81"/>
      <c r="E164" s="4"/>
      <c r="F164" s="4"/>
      <c r="G164" s="4"/>
      <c r="H164" s="4"/>
      <c r="I164" s="4"/>
      <c r="J164" s="67"/>
      <c r="K164" s="67"/>
      <c r="L164" s="4"/>
    </row>
    <row r="165" spans="1:13" ht="2.1" customHeight="1" thickBot="1" x14ac:dyDescent="0.3">
      <c r="A165" s="58" t="s">
        <v>244</v>
      </c>
      <c r="B165" s="59"/>
      <c r="C165" s="69">
        <f>C152+C162</f>
        <v>2231943.7999999998</v>
      </c>
      <c r="D165" s="80"/>
      <c r="E165" s="4"/>
      <c r="F165" s="4"/>
      <c r="G165" s="4"/>
      <c r="H165" s="4"/>
      <c r="I165" s="4"/>
      <c r="J165" s="67"/>
      <c r="K165" s="67"/>
      <c r="L165" s="4"/>
    </row>
    <row r="166" spans="1:13" ht="9.9499999999999993" customHeight="1" x14ac:dyDescent="0.2">
      <c r="A166" s="55"/>
      <c r="B166" s="53"/>
      <c r="C166" s="70"/>
      <c r="D166" s="80"/>
      <c r="E166" s="4"/>
      <c r="F166" s="4"/>
      <c r="G166" s="4"/>
      <c r="H166" s="4"/>
      <c r="I166" s="4"/>
      <c r="J166" s="67"/>
      <c r="K166" s="67"/>
      <c r="L166" s="4"/>
    </row>
    <row r="167" spans="1:13" ht="16.5" thickBot="1" x14ac:dyDescent="0.3">
      <c r="A167" s="58" t="s">
        <v>256</v>
      </c>
      <c r="B167" s="59"/>
      <c r="C167" s="69">
        <f>C152+C162</f>
        <v>2231943.7999999998</v>
      </c>
      <c r="D167" s="82"/>
      <c r="E167" s="4"/>
      <c r="F167" s="4"/>
      <c r="G167" s="4"/>
      <c r="H167" s="4"/>
      <c r="I167" s="4"/>
      <c r="J167" s="67"/>
      <c r="K167" s="67"/>
      <c r="L167" s="4"/>
      <c r="M167" s="4"/>
    </row>
    <row r="168" spans="1:13" x14ac:dyDescent="0.2">
      <c r="A168" s="53"/>
      <c r="C168" s="4"/>
      <c r="D168" s="4"/>
      <c r="E168" s="4"/>
      <c r="F168" s="4"/>
      <c r="G168" s="4"/>
      <c r="H168" s="4"/>
      <c r="I168" s="4"/>
      <c r="J168" s="67"/>
      <c r="K168" s="67"/>
      <c r="L168" s="4"/>
    </row>
    <row r="169" spans="1:13" x14ac:dyDescent="0.2">
      <c r="C169" s="4"/>
      <c r="D169" s="4"/>
    </row>
    <row r="170" spans="1:13" x14ac:dyDescent="0.2">
      <c r="C170" s="14"/>
      <c r="D170" s="4"/>
    </row>
    <row r="171" spans="1:13" x14ac:dyDescent="0.2">
      <c r="C171" s="14"/>
      <c r="D171" s="4"/>
    </row>
    <row r="172" spans="1:13" x14ac:dyDescent="0.2">
      <c r="C172" s="15"/>
      <c r="D172" s="4"/>
      <c r="I172" s="4"/>
      <c r="K172" s="67"/>
      <c r="L172" s="4"/>
    </row>
    <row r="173" spans="1:13" x14ac:dyDescent="0.2">
      <c r="C173" s="15"/>
      <c r="D173" s="4"/>
    </row>
    <row r="174" spans="1:13" x14ac:dyDescent="0.2">
      <c r="C174" s="15"/>
      <c r="D174" s="4"/>
    </row>
    <row r="175" spans="1:13" x14ac:dyDescent="0.2">
      <c r="C175" s="15"/>
      <c r="D175" s="4"/>
    </row>
    <row r="176" spans="1:13" x14ac:dyDescent="0.2">
      <c r="C176" s="15"/>
      <c r="D176" s="4"/>
    </row>
    <row r="177" spans="2:12" x14ac:dyDescent="0.2">
      <c r="D177" s="4"/>
    </row>
    <row r="178" spans="2:12" x14ac:dyDescent="0.2">
      <c r="D178" s="4"/>
    </row>
    <row r="179" spans="2:12" x14ac:dyDescent="0.2">
      <c r="B179" s="11" t="s">
        <v>242</v>
      </c>
      <c r="D179" s="13" t="s">
        <v>231</v>
      </c>
      <c r="I179" s="13" t="s">
        <v>240</v>
      </c>
      <c r="K179" s="75"/>
    </row>
    <row r="180" spans="2:12" x14ac:dyDescent="0.2">
      <c r="B180" s="11" t="s">
        <v>90</v>
      </c>
      <c r="D180" s="13" t="s">
        <v>91</v>
      </c>
      <c r="I180" s="11" t="s">
        <v>249</v>
      </c>
    </row>
    <row r="184" spans="2:12" x14ac:dyDescent="0.2">
      <c r="I184" s="4"/>
      <c r="K184" s="67"/>
      <c r="L184" s="4"/>
    </row>
    <row r="185" spans="2:12" x14ac:dyDescent="0.2">
      <c r="I185" s="4"/>
      <c r="K185" s="67"/>
      <c r="L185" s="4"/>
    </row>
    <row r="186" spans="2:12" x14ac:dyDescent="0.2">
      <c r="G186" s="60"/>
      <c r="I186" s="60"/>
      <c r="K186" s="68"/>
      <c r="L186" s="4"/>
    </row>
    <row r="187" spans="2:12" x14ac:dyDescent="0.2">
      <c r="G187" s="60"/>
      <c r="I187" s="60"/>
      <c r="K187" s="68"/>
      <c r="L187" s="4"/>
    </row>
    <row r="188" spans="2:12" x14ac:dyDescent="0.2">
      <c r="G188" s="60"/>
      <c r="L188" s="4"/>
    </row>
    <row r="189" spans="2:12" x14ac:dyDescent="0.2">
      <c r="G189" s="60"/>
    </row>
    <row r="190" spans="2:12" x14ac:dyDescent="0.2">
      <c r="G190" s="60"/>
    </row>
    <row r="191" spans="2:12" x14ac:dyDescent="0.2">
      <c r="G191" s="60"/>
      <c r="L191" s="4"/>
    </row>
    <row r="192" spans="2:12" x14ac:dyDescent="0.2">
      <c r="G192" s="60"/>
    </row>
    <row r="193" spans="7:7" x14ac:dyDescent="0.2">
      <c r="G193" s="60"/>
    </row>
    <row r="194" spans="7:7" x14ac:dyDescent="0.2">
      <c r="G194" s="60"/>
    </row>
    <row r="195" spans="7:7" x14ac:dyDescent="0.2">
      <c r="G195" s="60"/>
    </row>
    <row r="196" spans="7:7" x14ac:dyDescent="0.2">
      <c r="G196" s="60"/>
    </row>
    <row r="197" spans="7:7" x14ac:dyDescent="0.2">
      <c r="G197" s="60"/>
    </row>
    <row r="198" spans="7:7" x14ac:dyDescent="0.2">
      <c r="G198" s="60"/>
    </row>
    <row r="199" spans="7:7" x14ac:dyDescent="0.2">
      <c r="G199" s="60"/>
    </row>
    <row r="200" spans="7:7" x14ac:dyDescent="0.2">
      <c r="G200" s="60"/>
    </row>
    <row r="201" spans="7:7" x14ac:dyDescent="0.2">
      <c r="G201" s="60"/>
    </row>
    <row r="202" spans="7:7" x14ac:dyDescent="0.2">
      <c r="G202" s="60"/>
    </row>
    <row r="203" spans="7:7" x14ac:dyDescent="0.2">
      <c r="G203" s="60"/>
    </row>
  </sheetData>
  <mergeCells count="4">
    <mergeCell ref="B6:B7"/>
    <mergeCell ref="M6:M7"/>
    <mergeCell ref="H6:I6"/>
    <mergeCell ref="J6:K6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9746-D880-4EC9-AAF3-6DA96530AEF9}">
  <dimension ref="A1:O206"/>
  <sheetViews>
    <sheetView view="pageBreakPreview" topLeftCell="A85" zoomScale="60" zoomScaleNormal="100" workbookViewId="0">
      <selection activeCell="M48" sqref="M48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280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15000+6800+2800+200+400+400+1000+650+450</f>
        <v>27700</v>
      </c>
      <c r="N10" s="29">
        <f t="shared" ref="N10:N22" si="1">L10-M10</f>
        <v>9300</v>
      </c>
      <c r="O10" s="28">
        <f>M10/$M$26</f>
        <v>5.2196025872224619E-3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>
        <f>3395+3655+2040+4065+3690+3255+3810+10145+12880</f>
        <v>46935</v>
      </c>
      <c r="N12" s="29">
        <f t="shared" si="1"/>
        <v>-16435</v>
      </c>
      <c r="O12" s="28">
        <f>M12/$M$26</f>
        <v>8.8441172357865069E-3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f>1190.19+1066.17+1152.99+1192.01+991.39+751.35+820.8+845.14+946.88+1162.94</f>
        <v>10119.860000000002</v>
      </c>
      <c r="N15" s="29">
        <f t="shared" si="1"/>
        <v>-1319.8600000000024</v>
      </c>
      <c r="O15" s="28">
        <f>M15/$M$26</f>
        <v>1.9069186800840835E-3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/>
      <c r="J18" s="45"/>
      <c r="K18" s="45"/>
      <c r="L18" s="29">
        <f>C18+D18-E18+F18-G18+J18-K18</f>
        <v>3669949.52</v>
      </c>
      <c r="M18" s="29">
        <f>249709.38+249709.38+360686.22+256701.66+256701.66+256701.66+312274.32+256701.66+312274.32+403322.03</f>
        <v>2914782.29</v>
      </c>
      <c r="N18" s="29">
        <f t="shared" si="1"/>
        <v>755167.23</v>
      </c>
      <c r="O18" s="28">
        <f>M18/$M$26</f>
        <v>0.54924206433480904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f>463102.27+457387.6-20220.24+68514+57492.44+40714+497739.79+27188.9-54759.31+747223.38-15803.93</f>
        <v>2268578.9</v>
      </c>
      <c r="N20" s="29">
        <f t="shared" si="1"/>
        <v>416914.5</v>
      </c>
      <c r="O20" s="28">
        <f>M20/$M$26</f>
        <v>0.42747582295156267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>
        <f>22997.46+15803.93</f>
        <v>38801.39</v>
      </c>
      <c r="N22" s="29">
        <f t="shared" si="1"/>
        <v>11198.61</v>
      </c>
      <c r="O22" s="28">
        <f>M22/$M$26</f>
        <v>7.3114742105352976E-3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5306917.4399999995</v>
      </c>
      <c r="N26" s="35">
        <f t="shared" si="2"/>
        <v>2951606.1800000006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f>62454.4+62454.4+62454.4+62454.4+62454.4+62454.4+61326.4+62436.4+62436.4+62436.4</f>
        <v>623362.00000000012</v>
      </c>
      <c r="N31" s="29">
        <f t="shared" ref="N31:N99" si="3">L31-M31</f>
        <v>191210.03999999992</v>
      </c>
      <c r="O31" s="39">
        <f>M31/$M$138</f>
        <v>0.13778887796175096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f>1125+1125+1125+1125+1125+1125+1125+1125+1125+1125</f>
        <v>11250</v>
      </c>
      <c r="N32" s="29">
        <f t="shared" si="3"/>
        <v>2450</v>
      </c>
      <c r="O32" s="39">
        <f>M32/$M$138</f>
        <v>2.4867169912020587E-3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f>22349+22349+22349+22349+22349+22349+22937.25+21049+21049+21049</f>
        <v>220178.25</v>
      </c>
      <c r="N33" s="29">
        <f t="shared" si="3"/>
        <v>90921.75</v>
      </c>
      <c r="O33" s="39">
        <f>M33/$M$138</f>
        <v>4.8668532921611975E-2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/>
      <c r="I34" s="29"/>
      <c r="J34" s="45"/>
      <c r="K34" s="45"/>
      <c r="L34" s="29">
        <f t="shared" si="4"/>
        <v>154000</v>
      </c>
      <c r="M34" s="29">
        <f>17142.84+17142.84+17142.84+17142.84+17142.84+17142.84+17142.94+15000+15000</f>
        <v>149999.97999999998</v>
      </c>
      <c r="N34" s="29">
        <f t="shared" si="3"/>
        <v>4000.0200000000186</v>
      </c>
      <c r="O34" s="39">
        <f>M34/$M$138</f>
        <v>3.3156222128530574E-2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3985.95+1853.84+1927.62+3390.46+5053.81+1259.19+5124.71+4421.55+284.88</f>
        <v>27302.01</v>
      </c>
      <c r="N36" s="29">
        <f t="shared" si="3"/>
        <v>7208.7900000000045</v>
      </c>
      <c r="O36" s="39">
        <f t="shared" si="5"/>
        <v>6.0348775254194242E-3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6663.88+7089.19+6861.69+6869.56+7025.65+7203.13+6918.6+7208.77+7133.74+6701.01</f>
        <v>69675.22</v>
      </c>
      <c r="N37" s="29">
        <f t="shared" si="3"/>
        <v>17725.929999999993</v>
      </c>
      <c r="O37" s="39">
        <f t="shared" si="5"/>
        <v>1.5401115861310358E-2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624.54+664.4+643.08+643.82+658.45+675.08+648.42+675.61+668.58+627.21</f>
        <v>6529.19</v>
      </c>
      <c r="N38" s="29">
        <f t="shared" si="3"/>
        <v>1661.6500000000005</v>
      </c>
      <c r="O38" s="39">
        <f t="shared" si="5"/>
        <v>1.4432220188254729E-3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>
        <v>4394.5600000000004</v>
      </c>
      <c r="N39" s="29">
        <f t="shared" si="3"/>
        <v>63186.45</v>
      </c>
      <c r="O39" s="39">
        <f t="shared" si="5"/>
        <v>9.7138017963172636E-4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>
        <v>62683.92</v>
      </c>
      <c r="N40" s="29">
        <f t="shared" si="3"/>
        <v>4897.0899999999965</v>
      </c>
      <c r="O40" s="39">
        <f t="shared" si="5"/>
        <v>1.3855748350146717E-2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>
        <v>225.75</v>
      </c>
      <c r="N41" s="29">
        <f t="shared" si="3"/>
        <v>4174.25</v>
      </c>
      <c r="O41" s="39">
        <f t="shared" si="5"/>
        <v>4.9900120956787982E-5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f>465.85+1911.83+1651.66+1641.4+1491.35+1597.4+1291.61+1694.72+1512.31+1291.22</f>
        <v>14549.349999999999</v>
      </c>
      <c r="N45" s="29">
        <f t="shared" si="3"/>
        <v>-799.34999999999854</v>
      </c>
      <c r="O45" s="39">
        <f t="shared" ref="O45:O54" si="7">M45/$M$138</f>
        <v>3.2160102983062821E-3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4700.89+616.64+610.24+619.85+608+631.42+612.44+1071.56+608+608</f>
        <v>10687.04</v>
      </c>
      <c r="N46" s="29">
        <f t="shared" si="3"/>
        <v>15412.96</v>
      </c>
      <c r="O46" s="39">
        <f t="shared" si="7"/>
        <v>2.3622794625472046E-3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4.5092468107130667E-4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f>15+2240+725+367.5+3705+36+768+25+17.5+128.15</f>
        <v>8027.15</v>
      </c>
      <c r="N49" s="29">
        <f t="shared" si="3"/>
        <v>6222.85</v>
      </c>
      <c r="O49" s="39">
        <f t="shared" si="7"/>
        <v>1.7743333596380094E-3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>
        <f>378743.69+21726.93+247166.87</f>
        <v>647637.49</v>
      </c>
      <c r="N50" s="29">
        <f t="shared" si="3"/>
        <v>25450.979999999981</v>
      </c>
      <c r="O50" s="39">
        <f t="shared" si="7"/>
        <v>0.14315476893532919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>
        <f>7164.11+116434.25+133833.94+5432.58+1073.18+24956.58+12537.96+168949.59</f>
        <v>470382.19000000006</v>
      </c>
      <c r="N51" s="29">
        <f t="shared" si="3"/>
        <v>93360.509999999893</v>
      </c>
      <c r="O51" s="39">
        <f t="shared" si="7"/>
        <v>0.10397398970949648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/>
      <c r="I52" s="29"/>
      <c r="J52" s="45"/>
      <c r="K52" s="45"/>
      <c r="L52" s="29">
        <f>C52+D52-E52+F52-G52+H52-I52+J52-K52</f>
        <v>500985.37</v>
      </c>
      <c r="M52" s="29">
        <f>10463.32+70410.62+88302.55+40613.73+25589.39+126199.79+18982.85+1846.02+38523.27</f>
        <v>420931.54</v>
      </c>
      <c r="N52" s="29">
        <f t="shared" si="3"/>
        <v>80053.830000000016</v>
      </c>
      <c r="O52" s="39">
        <f t="shared" si="7"/>
        <v>9.3043343346742136E-2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>
        <f>800+23101.17+4780</f>
        <v>28681.17</v>
      </c>
      <c r="N53" s="29">
        <f t="shared" si="3"/>
        <v>196318.83000000002</v>
      </c>
      <c r="O53" s="39">
        <f t="shared" si="7"/>
        <v>6.3397291348048666E-3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>
        <v>219</v>
      </c>
      <c r="N54" s="29">
        <f t="shared" si="3"/>
        <v>74781</v>
      </c>
      <c r="O54" s="39">
        <f t="shared" si="7"/>
        <v>4.8408090762066748E-5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>
        <f>15000+7500+7500+7500+7500+7500+7500+7500+7500</f>
        <v>75000</v>
      </c>
      <c r="N55" s="29">
        <f t="shared" si="3"/>
        <v>15000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>
        <v>3068.8</v>
      </c>
      <c r="N56" s="29">
        <f t="shared" si="3"/>
        <v>1331.1999999999998</v>
      </c>
      <c r="O56" s="39">
        <f t="shared" ref="O56:O61" si="8">M56/$M$138</f>
        <v>6.7833218689785594E-4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>
        <v>1700</v>
      </c>
      <c r="N58" s="29">
        <f t="shared" si="3"/>
        <v>6050</v>
      </c>
      <c r="O58" s="39">
        <f t="shared" si="8"/>
        <v>3.7577056755942225E-4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f>170.04+268</f>
        <v>438.03999999999996</v>
      </c>
      <c r="N59" s="29">
        <f t="shared" si="3"/>
        <v>6561.96</v>
      </c>
      <c r="O59" s="39">
        <f t="shared" si="8"/>
        <v>9.6825023184546644E-5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f>150+4480</f>
        <v>4630</v>
      </c>
      <c r="N60" s="29">
        <f t="shared" si="3"/>
        <v>9370</v>
      </c>
      <c r="O60" s="39">
        <f t="shared" si="8"/>
        <v>1.023422192823603E-3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/>
      <c r="J63" s="45"/>
      <c r="K63" s="45"/>
      <c r="L63" s="29">
        <f t="shared" si="6"/>
        <v>115000</v>
      </c>
      <c r="M63" s="29">
        <f>30063.05+235.71+482.14+1990+5110.47</f>
        <v>37881.369999999995</v>
      </c>
      <c r="N63" s="29">
        <f t="shared" si="3"/>
        <v>77118.63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/>
      <c r="I64" s="29"/>
      <c r="J64" s="45"/>
      <c r="K64" s="45"/>
      <c r="L64" s="29">
        <f t="shared" si="6"/>
        <v>30750</v>
      </c>
      <c r="M64" s="29">
        <f>13323+23150.4</f>
        <v>36473.4</v>
      </c>
      <c r="N64" s="29">
        <f t="shared" si="3"/>
        <v>-5723.4000000000015</v>
      </c>
      <c r="O64" s="39">
        <f t="shared" ref="O64:O79" si="9">M64/$M$138</f>
        <v>8.0621354228363716E-3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>
        <f>4909.09+4909.09+4909.09+4909.09+4909.09+4909.09+4909.09+4909.09+4909.09</f>
        <v>44181.81</v>
      </c>
      <c r="N67" s="29">
        <f t="shared" si="3"/>
        <v>9818.1900000000023</v>
      </c>
      <c r="O67" s="39">
        <f t="shared" si="9"/>
        <v>9.7660140114720923E-3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f>4500+4500+4500+4500+4500+4500+4500+4500+4500+4500</f>
        <v>45000</v>
      </c>
      <c r="N68" s="29">
        <f t="shared" si="3"/>
        <v>9000</v>
      </c>
      <c r="O68" s="39">
        <f t="shared" si="9"/>
        <v>9.9468679648082349E-3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>
        <v>300</v>
      </c>
      <c r="N69" s="29">
        <f t="shared" si="3"/>
        <v>7200</v>
      </c>
      <c r="O69" s="39">
        <f t="shared" si="9"/>
        <v>6.6312453098721572E-5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f>650+840</f>
        <v>1490</v>
      </c>
      <c r="N70" s="29">
        <f t="shared" si="3"/>
        <v>23050</v>
      </c>
      <c r="O70" s="39">
        <f t="shared" si="9"/>
        <v>3.2935185039031716E-4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75279.4+121070.11+58800+3000+172041.02+1000+112256.73+154342.21</f>
        <v>697789.47</v>
      </c>
      <c r="N71" s="29">
        <f t="shared" si="3"/>
        <v>165510.53000000003</v>
      </c>
      <c r="O71" s="39">
        <f t="shared" si="9"/>
        <v>0.15424043834052262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/>
      <c r="J73" s="45"/>
      <c r="K73" s="45"/>
      <c r="L73" s="29">
        <f t="shared" si="6"/>
        <v>176000</v>
      </c>
      <c r="M73" s="29"/>
      <c r="N73" s="29">
        <f t="shared" si="3"/>
        <v>176000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>
        <v>4097.5</v>
      </c>
      <c r="N74" s="29">
        <f t="shared" si="3"/>
        <v>4152.5</v>
      </c>
      <c r="O74" s="39">
        <f t="shared" si="9"/>
        <v>9.0571758857337212E-4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50.36+100.33+202.82+281.23+50.36+132.24+50.36+127.03+50.35+206.46</f>
        <v>1251.54</v>
      </c>
      <c r="N75" s="29">
        <f t="shared" si="3"/>
        <v>1248.46</v>
      </c>
      <c r="O75" s="39">
        <f t="shared" si="9"/>
        <v>2.7664229183724666E-4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30+230.2+363+17298.83+13683.72+929.7+295.3+18603.67</f>
        <v>51434.42</v>
      </c>
      <c r="N76" s="29">
        <f t="shared" si="3"/>
        <v>73565.58</v>
      </c>
      <c r="O76" s="39">
        <f t="shared" si="9"/>
        <v>1.1369141879699823E-2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80+273+65.5+267.5+5785+14270.56+1200+250.59+1995.32+155.5</f>
        <v>24342.969999999998</v>
      </c>
      <c r="N79" s="29">
        <f t="shared" si="3"/>
        <v>26657.030000000002</v>
      </c>
      <c r="O79" s="39">
        <f t="shared" si="9"/>
        <v>5.3808068546952869E-3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148784.1</v>
      </c>
      <c r="M83" s="29">
        <f>782.3+3384.3+2972.3+3318.7+4227.6+2430+4032.65+3133.5+3556.35+2084.25</f>
        <v>29921.95</v>
      </c>
      <c r="N83" s="29">
        <f t="shared" si="3"/>
        <v>118862.15000000001</v>
      </c>
      <c r="O83" s="39">
        <f t="shared" ref="O83:O119" si="11">M83/$M$138</f>
        <v>6.6139930199909736E-3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>
        <f>100+25.9+200+170+43.99+270.79</f>
        <v>810.68000000000006</v>
      </c>
      <c r="N87" s="29">
        <f t="shared" si="3"/>
        <v>4189.32</v>
      </c>
      <c r="O87" s="39">
        <f t="shared" si="11"/>
        <v>1.7919393159357202E-4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>
        <f>1260+720+1925+8881.6+4200</f>
        <v>16986.599999999999</v>
      </c>
      <c r="N88" s="29">
        <f t="shared" si="3"/>
        <v>16813.400000000001</v>
      </c>
      <c r="O88" s="39">
        <f t="shared" si="11"/>
        <v>3.7547437193558124E-3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f>506.3+361.55+365.5+576.56+8+434+795.7+502.8+462+485</f>
        <v>4497.41</v>
      </c>
      <c r="N89" s="29">
        <f t="shared" si="3"/>
        <v>752.59000000000015</v>
      </c>
      <c r="O89" s="39">
        <f t="shared" si="11"/>
        <v>9.9411429896907122E-4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f>941.5+113+924.25+970.84+257.6+1032.74+1683.54+92.4+1005.29+703.46</f>
        <v>7724.62</v>
      </c>
      <c r="N90" s="29">
        <f t="shared" si="3"/>
        <v>2775.38</v>
      </c>
      <c r="O90" s="39">
        <f t="shared" si="11"/>
        <v>1.7074616715181555E-3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f>69.8+860.8+22.5+20.75+493.6+143.6+270+180</f>
        <v>2061.0499999999997</v>
      </c>
      <c r="N91" s="29">
        <f t="shared" si="3"/>
        <v>988.95000000000027</v>
      </c>
      <c r="O91" s="39">
        <f t="shared" si="11"/>
        <v>4.5557760486373357E-4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>
        <v>2700</v>
      </c>
      <c r="N93" s="29">
        <f t="shared" si="3"/>
        <v>2800</v>
      </c>
      <c r="O93" s="39">
        <f t="shared" si="11"/>
        <v>5.9681207788849411E-4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>
        <f>550+360+90</f>
        <v>1000</v>
      </c>
      <c r="N94" s="29">
        <f t="shared" si="3"/>
        <v>1700</v>
      </c>
      <c r="O94" s="39">
        <f t="shared" si="11"/>
        <v>2.2104151032907192E-4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>
        <f>469+547.99+29</f>
        <v>1045.99</v>
      </c>
      <c r="N95" s="29">
        <f t="shared" si="3"/>
        <v>1754.01</v>
      </c>
      <c r="O95" s="39">
        <f t="shared" si="11"/>
        <v>2.3120720938910592E-4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f>460+700+869+440+530.02+1265.41+705+1088+1121.04+710</f>
        <v>7888.47</v>
      </c>
      <c r="N96" s="29">
        <f t="shared" si="3"/>
        <v>611.52999999999975</v>
      </c>
      <c r="O96" s="39">
        <f t="shared" si="11"/>
        <v>1.743679322985574E-3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>
        <f>62.5+745+50+193.98+170+20</f>
        <v>1241.48</v>
      </c>
      <c r="N97" s="29">
        <f t="shared" si="3"/>
        <v>4758.5200000000004</v>
      </c>
      <c r="O97" s="39">
        <f t="shared" si="11"/>
        <v>2.7441861424333617E-4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f>750+1760+486+1480.13+4725.97+3759.32+1639</f>
        <v>14600.42</v>
      </c>
      <c r="N98" s="29">
        <f t="shared" si="3"/>
        <v>2899.58</v>
      </c>
      <c r="O98" s="39">
        <f t="shared" si="11"/>
        <v>3.227298888238788E-3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f>198.75+81+243.4+6481.27+451.44+144.44+134.1+304.09+484.24</f>
        <v>8522.73</v>
      </c>
      <c r="N99" s="29">
        <f t="shared" si="3"/>
        <v>-5522.73</v>
      </c>
      <c r="O99" s="39">
        <f t="shared" si="11"/>
        <v>1.883877111326891E-3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f>139+605.62+27+893.78+246+79</f>
        <v>1990.4</v>
      </c>
      <c r="N100" s="29">
        <f t="shared" ref="N100:N137" si="12">L100-M100</f>
        <v>-490.40000000000009</v>
      </c>
      <c r="O100" s="39">
        <f t="shared" si="11"/>
        <v>4.3996102215898471E-4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/>
      <c r="I101" s="29"/>
      <c r="J101" s="45"/>
      <c r="K101" s="45"/>
      <c r="L101" s="29">
        <f t="shared" si="10"/>
        <v>331653.07999999996</v>
      </c>
      <c r="M101" s="29">
        <f>69156.28+114221.15+150899.91</f>
        <v>334277.33999999997</v>
      </c>
      <c r="N101" s="29">
        <f t="shared" si="12"/>
        <v>-2624.2600000000093</v>
      </c>
      <c r="O101" s="39">
        <f t="shared" si="11"/>
        <v>7.3889168102384675E-2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>
        <v>581</v>
      </c>
      <c r="N104" s="29">
        <f t="shared" si="12"/>
        <v>919</v>
      </c>
      <c r="O104" s="39">
        <f t="shared" si="11"/>
        <v>1.2842511750119079E-4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>
        <v>12793.34</v>
      </c>
      <c r="N106" s="29">
        <f t="shared" si="12"/>
        <v>-12043.34</v>
      </c>
      <c r="O106" s="39">
        <f t="shared" si="11"/>
        <v>2.8278591957533288E-3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>
        <f>252.58+2571.75+376.13+473.5+167+173+25</f>
        <v>4038.96</v>
      </c>
      <c r="N108" s="29">
        <f t="shared" si="12"/>
        <v>761.04</v>
      </c>
      <c r="O108" s="39">
        <f t="shared" si="11"/>
        <v>8.9277781855870832E-4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>
        <f>3725+6961.98+31274.47+521.3</f>
        <v>42482.75</v>
      </c>
      <c r="N109" s="29">
        <f t="shared" si="12"/>
        <v>-13682.75</v>
      </c>
      <c r="O109" s="39">
        <f t="shared" si="11"/>
        <v>9.3904512229323802E-3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/>
      <c r="J110" s="45"/>
      <c r="K110" s="45"/>
      <c r="L110" s="29">
        <f t="shared" si="10"/>
        <v>1150000</v>
      </c>
      <c r="M110" s="29">
        <f>7000+7000</f>
        <v>14000</v>
      </c>
      <c r="N110" s="29">
        <f t="shared" si="12"/>
        <v>1136000</v>
      </c>
      <c r="O110" s="39">
        <f t="shared" si="11"/>
        <v>3.0945811446070068E-3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f>98+23.07+136.8+564.86+293.72</f>
        <v>1116.45</v>
      </c>
      <c r="N111" s="29">
        <f t="shared" si="12"/>
        <v>383.54999999999995</v>
      </c>
      <c r="O111" s="39">
        <f t="shared" si="11"/>
        <v>2.4678179420689232E-4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f>150.8+236.6+203.5+101.05+185.2+366.05+349+69.7+61.55</f>
        <v>1723.4499999999998</v>
      </c>
      <c r="N113" s="29">
        <f t="shared" si="12"/>
        <v>4876.55</v>
      </c>
      <c r="O113" s="39">
        <f t="shared" si="11"/>
        <v>3.8095399097663892E-4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>
        <f>62.64+157.34+62.55+103.94+248.09+68.15+59.3</f>
        <v>762.01</v>
      </c>
      <c r="N114" s="29">
        <f t="shared" si="12"/>
        <v>3237.99</v>
      </c>
      <c r="O114" s="39">
        <f t="shared" si="11"/>
        <v>1.6843584128585609E-4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>
        <v>4500</v>
      </c>
      <c r="N115" s="29">
        <f t="shared" si="12"/>
        <v>20751.900000000001</v>
      </c>
      <c r="O115" s="39">
        <f t="shared" si="11"/>
        <v>9.9468679648082362E-4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>
        <f>46+262+10940.08+4201.49-1512.51+1137.12+178+149.5</f>
        <v>15401.68</v>
      </c>
      <c r="N117" s="29">
        <f t="shared" si="12"/>
        <v>-5901.68</v>
      </c>
      <c r="O117" s="39">
        <f t="shared" si="11"/>
        <v>3.4044106088050603E-3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>
        <f>101+3685.03+361.78</f>
        <v>4147.8100000000004</v>
      </c>
      <c r="N118" s="29">
        <f t="shared" si="12"/>
        <v>71852.19</v>
      </c>
      <c r="O118" s="39">
        <f t="shared" si="11"/>
        <v>9.1683818695802784E-4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f>287+760.6+2770.11+247.15+1712.08-0.01+1077.75+819.63+1026.12+502+520.55</f>
        <v>9722.98</v>
      </c>
      <c r="N119" s="29">
        <f t="shared" si="12"/>
        <v>-222.97999999999956</v>
      </c>
      <c r="O119" s="39">
        <f t="shared" si="11"/>
        <v>2.1491821840993594E-3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>
        <f>2700+1000</f>
        <v>3700</v>
      </c>
      <c r="N124" s="29">
        <f t="shared" si="12"/>
        <v>6300</v>
      </c>
      <c r="O124" s="39">
        <f>M124/$M$138</f>
        <v>8.1785358821756602E-4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>
        <v>14992</v>
      </c>
      <c r="N128" s="29">
        <f t="shared" si="12"/>
        <v>25008</v>
      </c>
      <c r="O128" s="39">
        <f>+M128/M138</f>
        <v>3.313854322853446E-3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>
        <v>6290</v>
      </c>
      <c r="N129" s="29">
        <f t="shared" si="12"/>
        <v>8010</v>
      </c>
      <c r="O129" s="39">
        <f>M129/$M$138</f>
        <v>1.3903510999698622E-3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>
        <v>51205.02</v>
      </c>
      <c r="N134" s="29">
        <f t="shared" si="12"/>
        <v>134694.98000000001</v>
      </c>
      <c r="O134" s="39">
        <f>M134/$M$138</f>
        <v>1.1318434957230332E-2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>
        <v>2256</v>
      </c>
      <c r="N135" s="29">
        <f t="shared" si="12"/>
        <v>4914</v>
      </c>
      <c r="O135" s="39">
        <f>M135/$M$138</f>
        <v>4.9866964730238626E-4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f>750+1500+1500+1500+1500+1500+1500+56626.94+1000+20247.46</f>
        <v>87624.4</v>
      </c>
      <c r="N136" s="29">
        <f t="shared" si="12"/>
        <v>-17624.399999999994</v>
      </c>
      <c r="O136" s="39">
        <f>M136/$M$138</f>
        <v>1.9368629717678727E-2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>
        <f>3210.77+384.24</f>
        <v>3595.01</v>
      </c>
      <c r="N137" s="29">
        <f t="shared" si="12"/>
        <v>5154.99</v>
      </c>
      <c r="O137" s="39">
        <f>M137/$M$138</f>
        <v>7.9464644004811685E-4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428653.07999999996</v>
      </c>
      <c r="E138" s="35">
        <f t="shared" si="14"/>
        <v>0</v>
      </c>
      <c r="F138" s="35">
        <f t="shared" si="14"/>
        <v>992800</v>
      </c>
      <c r="G138" s="35">
        <f t="shared" si="14"/>
        <v>992800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>SUM(L31:L137)</f>
        <v>8258523.6200000001</v>
      </c>
      <c r="M138" s="35">
        <f>SUM(M31:M137)</f>
        <v>4524037.1300000008</v>
      </c>
      <c r="N138" s="35">
        <f t="shared" si="14"/>
        <v>3734486.4899999998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5306917.4399999995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-4524037.1300000008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2819517.129999999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ht="12" customHeight="1" x14ac:dyDescent="0.2">
      <c r="A157" s="55" t="s">
        <v>269</v>
      </c>
      <c r="B157" s="53"/>
      <c r="C157" s="70">
        <v>0</v>
      </c>
      <c r="D157" s="4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152</v>
      </c>
      <c r="B158" s="53"/>
      <c r="C158" s="70">
        <f>3029.44+6701.01+627.21</f>
        <v>10357.66</v>
      </c>
      <c r="D158" s="80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151</v>
      </c>
      <c r="B159" s="53"/>
      <c r="C159" s="70">
        <v>1861.55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150</v>
      </c>
      <c r="B160" s="53"/>
      <c r="C160" s="70">
        <v>14292.16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270</v>
      </c>
      <c r="B161" s="53"/>
      <c r="C161" s="70">
        <v>-15</v>
      </c>
      <c r="D161" s="81"/>
      <c r="E161" s="4"/>
      <c r="F161" s="4"/>
      <c r="G161" s="4"/>
      <c r="H161" s="4"/>
      <c r="I161" s="4"/>
      <c r="J161" s="67"/>
      <c r="K161" s="67"/>
      <c r="L161" s="4"/>
    </row>
    <row r="162" spans="1:13" x14ac:dyDescent="0.2">
      <c r="A162" s="55" t="s">
        <v>279</v>
      </c>
      <c r="B162" s="53"/>
      <c r="C162" s="70">
        <v>0.01</v>
      </c>
      <c r="D162" s="81"/>
      <c r="E162" s="4"/>
      <c r="F162" s="4"/>
      <c r="G162" s="4"/>
      <c r="H162" s="4"/>
      <c r="I162" s="4"/>
      <c r="J162" s="67"/>
      <c r="K162" s="67"/>
      <c r="L162" s="4"/>
    </row>
    <row r="163" spans="1:13" x14ac:dyDescent="0.2">
      <c r="A163" s="55" t="s">
        <v>268</v>
      </c>
      <c r="B163" s="53"/>
      <c r="C163" s="70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1"/>
      <c r="D164" s="82"/>
      <c r="E164" s="83"/>
      <c r="F164" s="4"/>
      <c r="G164" s="4"/>
      <c r="H164" s="4"/>
      <c r="I164" s="4"/>
      <c r="J164" s="67"/>
      <c r="K164" s="67"/>
      <c r="L164" s="4"/>
    </row>
    <row r="165" spans="1:13" ht="15.75" x14ac:dyDescent="0.25">
      <c r="A165" s="56"/>
      <c r="B165" s="57"/>
      <c r="C165" s="72">
        <f>SUM(C155:C164)</f>
        <v>26818.379999999997</v>
      </c>
      <c r="D165" s="82"/>
      <c r="E165" s="83"/>
      <c r="F165" s="4"/>
      <c r="G165" s="4"/>
      <c r="H165" s="4"/>
      <c r="I165" s="4"/>
      <c r="J165" s="67"/>
      <c r="K165" s="67"/>
      <c r="L165" s="4"/>
    </row>
    <row r="166" spans="1:13" ht="2.1" customHeight="1" x14ac:dyDescent="0.25">
      <c r="A166" s="56"/>
      <c r="B166" s="57"/>
      <c r="C166" s="73"/>
      <c r="D166" s="81"/>
      <c r="E166" s="4"/>
      <c r="F166" s="4"/>
      <c r="G166" s="4"/>
      <c r="H166" s="4"/>
      <c r="I166" s="4"/>
      <c r="J166" s="67"/>
      <c r="K166" s="67"/>
      <c r="L166" s="4"/>
    </row>
    <row r="167" spans="1:13" x14ac:dyDescent="0.2">
      <c r="A167" s="55"/>
      <c r="B167" s="53"/>
      <c r="C167" s="70"/>
      <c r="D167" s="81"/>
      <c r="E167" s="4"/>
      <c r="F167" s="4"/>
      <c r="G167" s="4"/>
      <c r="H167" s="4"/>
      <c r="I167" s="4"/>
      <c r="J167" s="67"/>
      <c r="K167" s="67"/>
      <c r="L167" s="4"/>
    </row>
    <row r="168" spans="1:13" ht="2.1" customHeight="1" thickBot="1" x14ac:dyDescent="0.3">
      <c r="A168" s="58" t="s">
        <v>244</v>
      </c>
      <c r="B168" s="59"/>
      <c r="C168" s="69">
        <f>C152+C165</f>
        <v>2846335.5099999988</v>
      </c>
      <c r="D168" s="80"/>
      <c r="E168" s="4"/>
      <c r="F168" s="4"/>
      <c r="G168" s="4"/>
      <c r="H168" s="4"/>
      <c r="I168" s="4"/>
      <c r="J168" s="67"/>
      <c r="K168" s="67"/>
      <c r="L168" s="4"/>
    </row>
    <row r="169" spans="1:13" ht="9.9499999999999993" customHeight="1" x14ac:dyDescent="0.2">
      <c r="A169" s="55"/>
      <c r="B169" s="53"/>
      <c r="C169" s="70"/>
      <c r="D169" s="80"/>
      <c r="E169" s="4"/>
      <c r="F169" s="4"/>
      <c r="G169" s="4"/>
      <c r="H169" s="4"/>
      <c r="I169" s="4"/>
      <c r="J169" s="67"/>
      <c r="K169" s="67"/>
      <c r="L169" s="4"/>
    </row>
    <row r="170" spans="1:13" ht="16.5" thickBot="1" x14ac:dyDescent="0.3">
      <c r="A170" s="58" t="s">
        <v>281</v>
      </c>
      <c r="B170" s="59"/>
      <c r="C170" s="69">
        <f>C152+C165</f>
        <v>2846335.5099999988</v>
      </c>
      <c r="D170" s="82"/>
      <c r="E170" s="4"/>
      <c r="F170" s="4"/>
      <c r="G170" s="4"/>
      <c r="H170" s="4"/>
      <c r="I170" s="4"/>
      <c r="J170" s="67"/>
      <c r="K170" s="67"/>
      <c r="L170" s="4"/>
      <c r="M170" s="4"/>
    </row>
    <row r="171" spans="1:13" x14ac:dyDescent="0.2">
      <c r="A171" s="53"/>
      <c r="C171" s="4"/>
      <c r="D171" s="4"/>
      <c r="E171" s="4"/>
      <c r="F171" s="4"/>
      <c r="G171" s="4"/>
      <c r="H171" s="4"/>
      <c r="I171" s="4"/>
      <c r="J171" s="67"/>
      <c r="K171" s="67"/>
      <c r="L171" s="4"/>
    </row>
    <row r="172" spans="1:13" x14ac:dyDescent="0.2">
      <c r="C172" s="4"/>
      <c r="D172" s="4"/>
      <c r="E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67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C182" s="13" t="s">
        <v>231</v>
      </c>
      <c r="G182" s="11" t="s">
        <v>264</v>
      </c>
      <c r="J182" s="13" t="s">
        <v>240</v>
      </c>
      <c r="K182" s="75"/>
    </row>
    <row r="183" spans="2:12" x14ac:dyDescent="0.2">
      <c r="B183" s="11" t="s">
        <v>90</v>
      </c>
      <c r="C183" s="13" t="s">
        <v>91</v>
      </c>
      <c r="G183" s="11" t="s">
        <v>265</v>
      </c>
      <c r="J183" s="11" t="s">
        <v>249</v>
      </c>
    </row>
    <row r="187" spans="2:12" x14ac:dyDescent="0.2">
      <c r="I187" s="4"/>
      <c r="K187" s="67"/>
      <c r="L187" s="4"/>
    </row>
    <row r="188" spans="2:12" x14ac:dyDescent="0.2">
      <c r="I188" s="4"/>
      <c r="K188" s="67"/>
      <c r="L188" s="4"/>
    </row>
    <row r="189" spans="2:12" x14ac:dyDescent="0.2">
      <c r="G189" s="60"/>
      <c r="I189" s="60"/>
      <c r="K189" s="68"/>
      <c r="L189" s="4"/>
    </row>
    <row r="190" spans="2:12" x14ac:dyDescent="0.2">
      <c r="G190" s="60"/>
      <c r="I190" s="60"/>
      <c r="K190" s="68"/>
      <c r="L190" s="4"/>
    </row>
    <row r="191" spans="2:12" x14ac:dyDescent="0.2">
      <c r="G191" s="60"/>
      <c r="L191" s="4"/>
    </row>
    <row r="192" spans="2:12" x14ac:dyDescent="0.2">
      <c r="G192" s="60"/>
    </row>
    <row r="193" spans="7:12" x14ac:dyDescent="0.2">
      <c r="G193" s="60"/>
    </row>
    <row r="194" spans="7:12" x14ac:dyDescent="0.2">
      <c r="G194" s="60"/>
      <c r="L194" s="4"/>
    </row>
    <row r="195" spans="7:12" x14ac:dyDescent="0.2">
      <c r="G195" s="60"/>
    </row>
    <row r="196" spans="7:12" x14ac:dyDescent="0.2">
      <c r="G196" s="60"/>
    </row>
    <row r="197" spans="7:12" x14ac:dyDescent="0.2">
      <c r="G197" s="60"/>
    </row>
    <row r="198" spans="7:12" x14ac:dyDescent="0.2">
      <c r="G198" s="60"/>
    </row>
    <row r="199" spans="7:12" x14ac:dyDescent="0.2">
      <c r="G199" s="60"/>
    </row>
    <row r="200" spans="7:12" x14ac:dyDescent="0.2">
      <c r="G200" s="60"/>
    </row>
    <row r="201" spans="7:12" x14ac:dyDescent="0.2">
      <c r="G201" s="60"/>
    </row>
    <row r="202" spans="7:12" x14ac:dyDescent="0.2">
      <c r="G202" s="60"/>
    </row>
    <row r="203" spans="7:12" x14ac:dyDescent="0.2">
      <c r="G203" s="60"/>
    </row>
    <row r="204" spans="7:12" x14ac:dyDescent="0.2">
      <c r="G204" s="60"/>
    </row>
    <row r="205" spans="7:12" x14ac:dyDescent="0.2">
      <c r="G205" s="60"/>
    </row>
    <row r="206" spans="7:12" x14ac:dyDescent="0.2">
      <c r="G206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E04B-6F29-4B96-B870-7824687AD8B1}">
  <dimension ref="A1:O206"/>
  <sheetViews>
    <sheetView view="pageBreakPreview" topLeftCell="E40" zoomScale="60" zoomScaleNormal="100" workbookViewId="0">
      <selection activeCell="H141" sqref="H141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282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15000+6800+2800+200+400+400+1000+650+450</f>
        <v>27700</v>
      </c>
      <c r="N10" s="29">
        <f t="shared" ref="N10:N22" si="1">L10-M10</f>
        <v>9300</v>
      </c>
      <c r="O10" s="28">
        <f>M10/$M$26</f>
        <v>5.1779487418479016E-3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>
        <v>20000</v>
      </c>
      <c r="I12" s="29"/>
      <c r="J12" s="45"/>
      <c r="K12" s="45"/>
      <c r="L12" s="29">
        <f>C12+D12-E12+F12-G12+H12+J12-K12</f>
        <v>50500</v>
      </c>
      <c r="M12" s="29">
        <f>3395+3655+2040+4065+3690+3255+3810+10145+12880+1620</f>
        <v>48555</v>
      </c>
      <c r="N12" s="29">
        <f t="shared" si="1"/>
        <v>1945</v>
      </c>
      <c r="O12" s="28">
        <f>M12/$M$26</f>
        <v>9.0763646628312239E-3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>
        <v>3500</v>
      </c>
      <c r="I15" s="29"/>
      <c r="J15" s="45"/>
      <c r="K15" s="45"/>
      <c r="L15" s="29">
        <f>C15+D15-E15+F15-G15+H15+J15-K15</f>
        <v>12300</v>
      </c>
      <c r="M15" s="29">
        <f>1190.19+1066.17+1152.99+1192.01+991.39+751.35+820.8+845.14+946.88+1162.94+1113.21</f>
        <v>11233.070000000003</v>
      </c>
      <c r="N15" s="29">
        <f t="shared" si="1"/>
        <v>1066.9299999999967</v>
      </c>
      <c r="O15" s="28">
        <f>M15/$M$26</f>
        <v>2.0997928041007015E-3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>
        <v>23500</v>
      </c>
      <c r="J18" s="45"/>
      <c r="K18" s="45"/>
      <c r="L18" s="29">
        <f>C18+D18-E18+F18-G18+J18-I18-K18</f>
        <v>3646449.52</v>
      </c>
      <c r="M18" s="29">
        <f>249709.38+249709.38+360686.22+256701.66+256701.66+256701.66+312274.32+256701.66+312274.32+403322.03</f>
        <v>2914782.29</v>
      </c>
      <c r="N18" s="29">
        <f t="shared" si="1"/>
        <v>731667.23</v>
      </c>
      <c r="O18" s="28">
        <f>M18/$M$26</f>
        <v>0.54485896358361174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f>463102.27+457387.6-20220.24+68514+57492.44+40714+497739.79+27188.9-54759.31+747223.38-15803.93+39958.12</f>
        <v>2308537.02</v>
      </c>
      <c r="N20" s="29">
        <f t="shared" si="1"/>
        <v>376956.37999999989</v>
      </c>
      <c r="O20" s="28">
        <f>M20/$M$26</f>
        <v>0.43153380354578719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>
        <f>22997.46+15803.93</f>
        <v>38801.39</v>
      </c>
      <c r="N22" s="29">
        <f t="shared" si="1"/>
        <v>11198.61</v>
      </c>
      <c r="O22" s="28">
        <f>M22/$M$26</f>
        <v>7.2531266618212908E-3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23500</v>
      </c>
      <c r="I26" s="35">
        <f t="shared" si="2"/>
        <v>23500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5349608.7699999996</v>
      </c>
      <c r="N26" s="35">
        <f t="shared" si="2"/>
        <v>2908914.8500000006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>
        <v>39000</v>
      </c>
      <c r="J31" s="45"/>
      <c r="K31" s="45"/>
      <c r="L31" s="29">
        <f>C31+D31-E31+F31-G31+H31+J31-I31-K31</f>
        <v>775572.04</v>
      </c>
      <c r="M31" s="29">
        <f>62454.4+62454.4+62454.4+62454.4+62454.4+62454.4+61326.4+62436.4+62436.4+62436.4+62517.48</f>
        <v>685879.4800000001</v>
      </c>
      <c r="N31" s="29">
        <f t="shared" ref="N31:N99" si="3">L31-M31</f>
        <v>89692.559999999939</v>
      </c>
      <c r="O31" s="39">
        <f>M31/$M$138</f>
        <v>0.13404718850799074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>
        <v>1000</v>
      </c>
      <c r="I32" s="29"/>
      <c r="J32" s="45"/>
      <c r="K32" s="45"/>
      <c r="L32" s="29">
        <f t="shared" ref="L32:L41" si="4">C32+D32-E32+F32-G32+H32+J32-K32</f>
        <v>14700</v>
      </c>
      <c r="M32" s="29">
        <f>1125+1125+1125+1125+1125+1125+1125+1125+1125+1125+1125</f>
        <v>12375</v>
      </c>
      <c r="N32" s="29">
        <f t="shared" si="3"/>
        <v>2325</v>
      </c>
      <c r="O32" s="39">
        <f>M32/$M$138</f>
        <v>2.418550206205885E-3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si="4"/>
        <v>311100</v>
      </c>
      <c r="M33" s="29">
        <f>22349+22349+22349+22349+22349+22349+22937.25+21049+21049+21049+21049</f>
        <v>241227.25</v>
      </c>
      <c r="N33" s="29">
        <f t="shared" si="3"/>
        <v>69872.75</v>
      </c>
      <c r="O33" s="39">
        <f>M33/$M$138</f>
        <v>4.7145067897372009E-2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>
        <v>30000</v>
      </c>
      <c r="I34" s="29"/>
      <c r="J34" s="45"/>
      <c r="K34" s="45"/>
      <c r="L34" s="29">
        <f t="shared" si="4"/>
        <v>184000</v>
      </c>
      <c r="M34" s="29">
        <f>17142.84+17142.84+17142.84+17142.84+17142.84+17142.84+17142.94+15000+15000+15000</f>
        <v>164999.97999999998</v>
      </c>
      <c r="N34" s="29">
        <f t="shared" si="3"/>
        <v>19000.020000000019</v>
      </c>
      <c r="O34" s="39">
        <f>M34/$M$138</f>
        <v>3.2247332173977121E-2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3985.95+1853.84+1927.62+3390.46+5053.81+1259.19+5124.71+4421.55+284.88</f>
        <v>27302.01</v>
      </c>
      <c r="N36" s="29">
        <f t="shared" si="3"/>
        <v>7208.7900000000045</v>
      </c>
      <c r="O36" s="39">
        <f t="shared" si="5"/>
        <v>5.3358611648755662E-3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6663.88+7089.19+6861.69+6869.56+7025.65+7203.13+6918.6+7208.77+7133.74+6701.01+6670.62</f>
        <v>76345.84</v>
      </c>
      <c r="N37" s="29">
        <f t="shared" si="3"/>
        <v>11055.309999999998</v>
      </c>
      <c r="O37" s="39">
        <f t="shared" si="5"/>
        <v>1.4920908854542345E-2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624.54+664.4+643.08+643.82+658.45+675.08+648.42+675.61+668.58+627.21+625.17</f>
        <v>7154.36</v>
      </c>
      <c r="N38" s="29">
        <f t="shared" si="3"/>
        <v>1036.4800000000005</v>
      </c>
      <c r="O38" s="39">
        <f t="shared" si="5"/>
        <v>1.398236675011809E-3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>
        <v>7000</v>
      </c>
      <c r="I39" s="29"/>
      <c r="J39" s="45"/>
      <c r="K39" s="45"/>
      <c r="L39" s="29">
        <f t="shared" si="4"/>
        <v>74581.009999999995</v>
      </c>
      <c r="M39" s="29">
        <v>4394.5600000000004</v>
      </c>
      <c r="N39" s="29">
        <f t="shared" si="3"/>
        <v>70186.45</v>
      </c>
      <c r="O39" s="39">
        <f t="shared" si="5"/>
        <v>8.5886577730780894E-4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>
        <v>62683.92</v>
      </c>
      <c r="N40" s="29">
        <f t="shared" si="3"/>
        <v>4897.0899999999965</v>
      </c>
      <c r="O40" s="39">
        <f t="shared" si="5"/>
        <v>1.2250845061963087E-2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>
        <v>1000</v>
      </c>
      <c r="I41" s="29"/>
      <c r="J41" s="45"/>
      <c r="K41" s="45"/>
      <c r="L41" s="29">
        <f t="shared" si="4"/>
        <v>5400</v>
      </c>
      <c r="M41" s="29">
        <v>225.75</v>
      </c>
      <c r="N41" s="29">
        <f t="shared" si="3"/>
        <v>5174.25</v>
      </c>
      <c r="O41" s="39">
        <f t="shared" si="5"/>
        <v>4.4120218913210392E-5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>
        <v>5000</v>
      </c>
      <c r="I45" s="29"/>
      <c r="J45" s="45"/>
      <c r="K45" s="45"/>
      <c r="L45" s="29">
        <f t="shared" ref="L45:L79" si="6">C45+D45-E45+F45-G45+H45+J45-K45</f>
        <v>18750</v>
      </c>
      <c r="M45" s="29">
        <f>465.85+1911.83+1651.66+1641.4+1491.35+1597.4+1291.61+1694.72+1512.31+1291.22+1563.92</f>
        <v>16113.269999999999</v>
      </c>
      <c r="N45" s="29">
        <f t="shared" si="3"/>
        <v>2636.7300000000014</v>
      </c>
      <c r="O45" s="39">
        <f t="shared" ref="O45:O54" si="7">M45/$M$138</f>
        <v>3.1491517156485736E-3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4700.89+616.64+610.24+619.85+608+631.42+612.44+1071.56+608+608+608</f>
        <v>11295.04</v>
      </c>
      <c r="N46" s="29">
        <f t="shared" si="3"/>
        <v>14804.96</v>
      </c>
      <c r="O46" s="39">
        <f t="shared" si="7"/>
        <v>2.2074845512003007E-3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3.986943370230308E-4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 t="shared" si="6"/>
        <v>14250</v>
      </c>
      <c r="M49" s="29">
        <f>15+2240+725+367.5+3705+36+768+25+17.5+128.15+40.5</f>
        <v>8067.65</v>
      </c>
      <c r="N49" s="29">
        <f t="shared" si="3"/>
        <v>6182.35</v>
      </c>
      <c r="O49" s="39">
        <f t="shared" si="7"/>
        <v>1.5767286118058108E-3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>
        <v>300000</v>
      </c>
      <c r="I50" s="29"/>
      <c r="J50" s="45"/>
      <c r="K50" s="45"/>
      <c r="L50" s="29">
        <f t="shared" si="6"/>
        <v>973088.47</v>
      </c>
      <c r="M50" s="29">
        <f>378743.69+21726.93+247166.87+201715.16</f>
        <v>849352.65</v>
      </c>
      <c r="N50" s="29">
        <f t="shared" si="3"/>
        <v>123735.81999999995</v>
      </c>
      <c r="O50" s="39">
        <f t="shared" si="7"/>
        <v>0.1659961233776982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>
        <v>100000</v>
      </c>
      <c r="I51" s="29"/>
      <c r="J51" s="45"/>
      <c r="K51" s="45"/>
      <c r="L51" s="29">
        <f t="shared" si="6"/>
        <v>663742.69999999995</v>
      </c>
      <c r="M51" s="29">
        <f>7164.11+116434.25+133833.94+5432.58+1073.18+24956.58+12537.96+168949.59+138844.01</f>
        <v>609226.20000000007</v>
      </c>
      <c r="N51" s="29">
        <f t="shared" si="3"/>
        <v>54516.499999999884</v>
      </c>
      <c r="O51" s="39">
        <f t="shared" si="7"/>
        <v>0.11906619407159823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>
        <v>100000</v>
      </c>
      <c r="I52" s="29"/>
      <c r="J52" s="45"/>
      <c r="K52" s="45"/>
      <c r="L52" s="29">
        <f t="shared" si="6"/>
        <v>600985.37</v>
      </c>
      <c r="M52" s="29">
        <f>10463.32+70410.62+88302.55+40613.73+25589.39+126199.79+18982.85+1846.02+38523.27+70353.53</f>
        <v>491285.06999999995</v>
      </c>
      <c r="N52" s="29">
        <f t="shared" si="3"/>
        <v>109700.30000000005</v>
      </c>
      <c r="O52" s="39">
        <f t="shared" si="7"/>
        <v>9.6015968271060417E-2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>
        <v>175000</v>
      </c>
      <c r="J53" s="45"/>
      <c r="K53" s="45"/>
      <c r="L53" s="29">
        <f>C53+D53-E53+F53-G53+H53+J53-I53-K53</f>
        <v>50000</v>
      </c>
      <c r="M53" s="29">
        <f>800+23101.17+4780</f>
        <v>28681.17</v>
      </c>
      <c r="N53" s="29">
        <f t="shared" si="3"/>
        <v>21318.83</v>
      </c>
      <c r="O53" s="39">
        <f t="shared" si="7"/>
        <v>5.6054019893111958E-3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>
        <v>70000</v>
      </c>
      <c r="J54" s="45"/>
      <c r="K54" s="45"/>
      <c r="L54" s="29">
        <f>C54+D54-E54+F54-G54+H54+J54-I54-K54</f>
        <v>5000</v>
      </c>
      <c r="M54" s="29">
        <v>219</v>
      </c>
      <c r="N54" s="29">
        <f t="shared" si="3"/>
        <v>4781</v>
      </c>
      <c r="O54" s="39">
        <f t="shared" si="7"/>
        <v>4.2801009709825364E-5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>
        <v>2000</v>
      </c>
      <c r="I55" s="29"/>
      <c r="J55" s="45"/>
      <c r="K55" s="45"/>
      <c r="L55" s="29">
        <f t="shared" si="6"/>
        <v>92000</v>
      </c>
      <c r="M55" s="29">
        <f>15000+7500+7500+7500+7500+7500+7500+7500+7500+7500</f>
        <v>82500</v>
      </c>
      <c r="N55" s="29">
        <f t="shared" si="3"/>
        <v>9500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>
        <v>3068.8</v>
      </c>
      <c r="N56" s="29">
        <f t="shared" si="3"/>
        <v>1331.1999999999998</v>
      </c>
      <c r="O56" s="39">
        <f t="shared" ref="O56:O61" si="8">M56/$M$138</f>
        <v>5.9976136345895931E-4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>
        <v>1700</v>
      </c>
      <c r="N58" s="29">
        <f t="shared" si="3"/>
        <v>6050</v>
      </c>
      <c r="O58" s="39">
        <f t="shared" si="8"/>
        <v>3.3224528085252564E-4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f>170.04+268</f>
        <v>438.03999999999996</v>
      </c>
      <c r="N59" s="29">
        <f t="shared" si="3"/>
        <v>6561.96</v>
      </c>
      <c r="O59" s="39">
        <f t="shared" si="8"/>
        <v>8.5609836955670771E-5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f>150+4480</f>
        <v>4630</v>
      </c>
      <c r="N60" s="29">
        <f t="shared" si="3"/>
        <v>9370</v>
      </c>
      <c r="O60" s="39">
        <f t="shared" si="8"/>
        <v>9.0487979432187871E-4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>
        <v>75000</v>
      </c>
      <c r="J63" s="45"/>
      <c r="K63" s="45"/>
      <c r="L63" s="29">
        <f>C63+D63-E63+F63-G63+H63+J63-I63-K63</f>
        <v>40000</v>
      </c>
      <c r="M63" s="29">
        <f>30063.05+235.71+482.14+1990+5110.47</f>
        <v>37881.369999999995</v>
      </c>
      <c r="N63" s="29">
        <f t="shared" si="3"/>
        <v>2118.6300000000047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>
        <v>25000</v>
      </c>
      <c r="I64" s="29"/>
      <c r="J64" s="45"/>
      <c r="K64" s="45"/>
      <c r="L64" s="29">
        <f t="shared" si="6"/>
        <v>55750</v>
      </c>
      <c r="M64" s="29">
        <f>13323+23150.4</f>
        <v>36473.4</v>
      </c>
      <c r="N64" s="29">
        <f t="shared" si="3"/>
        <v>19276.599999999999</v>
      </c>
      <c r="O64" s="39">
        <f t="shared" ref="O64:O79" si="9">M64/$M$138</f>
        <v>7.128302956850888E-3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>
        <v>1000</v>
      </c>
      <c r="I67" s="29"/>
      <c r="J67" s="45"/>
      <c r="K67" s="45"/>
      <c r="L67" s="29">
        <f t="shared" si="6"/>
        <v>55000</v>
      </c>
      <c r="M67" s="29">
        <f>4909.09+4909.09+4909.09+4909.09+4909.09+4909.09+4909.09+4909.09+4909.09+5026.09</f>
        <v>49207.899999999994</v>
      </c>
      <c r="N67" s="29">
        <f t="shared" si="3"/>
        <v>5792.1000000000058</v>
      </c>
      <c r="O67" s="39">
        <f t="shared" si="9"/>
        <v>9.6171132680370561E-3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>
        <v>1000</v>
      </c>
      <c r="I68" s="29"/>
      <c r="J68" s="45"/>
      <c r="K68" s="45"/>
      <c r="L68" s="29">
        <f t="shared" si="6"/>
        <v>55000</v>
      </c>
      <c r="M68" s="29">
        <f>4500+4500+4500+4500+4500+4500+4500+4500+4500+4500+4500</f>
        <v>49500</v>
      </c>
      <c r="N68" s="29">
        <f t="shared" si="3"/>
        <v>5500</v>
      </c>
      <c r="O68" s="39">
        <f t="shared" si="9"/>
        <v>9.6742008248235402E-3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>
        <v>300</v>
      </c>
      <c r="N69" s="29">
        <f t="shared" si="3"/>
        <v>7200</v>
      </c>
      <c r="O69" s="39">
        <f t="shared" si="9"/>
        <v>5.86315201504457E-5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>
        <v>10000</v>
      </c>
      <c r="I70" s="29"/>
      <c r="J70" s="45"/>
      <c r="K70" s="45"/>
      <c r="L70" s="29">
        <f t="shared" si="6"/>
        <v>34540</v>
      </c>
      <c r="M70" s="29">
        <f>650+840</f>
        <v>1490</v>
      </c>
      <c r="N70" s="29">
        <f t="shared" si="3"/>
        <v>33050</v>
      </c>
      <c r="O70" s="39">
        <f t="shared" si="9"/>
        <v>2.9120321674721363E-4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75279.4+121070.11+58800+3000+172041.02+1000+112256.73+154342.21+500</f>
        <v>698289.47</v>
      </c>
      <c r="N71" s="29">
        <f t="shared" si="3"/>
        <v>165010.53000000003</v>
      </c>
      <c r="O71" s="39">
        <f t="shared" si="9"/>
        <v>0.13647257710383015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>
        <v>101000</v>
      </c>
      <c r="J73" s="45"/>
      <c r="K73" s="45"/>
      <c r="L73" s="29">
        <f>C73+D73-E73+F73-G73+H73+J73-I73-K73</f>
        <v>75000</v>
      </c>
      <c r="M73" s="29"/>
      <c r="N73" s="29">
        <f t="shared" si="3"/>
        <v>75000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>
        <v>4097.5</v>
      </c>
      <c r="N74" s="29">
        <f t="shared" si="3"/>
        <v>4152.5</v>
      </c>
      <c r="O74" s="39">
        <f t="shared" si="9"/>
        <v>8.0080884605483759E-4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50.36+100.33+202.82+281.23+50.36+132.24+50.36+127.03+50.35+206.46+70.35</f>
        <v>1321.8899999999999</v>
      </c>
      <c r="N75" s="29">
        <f t="shared" si="3"/>
        <v>1178.1100000000001</v>
      </c>
      <c r="O75" s="39">
        <f t="shared" si="9"/>
        <v>2.5834806723890887E-4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30+230.2+363+17298.83+13683.72+929.7+295.3+18603.67</f>
        <v>51434.42</v>
      </c>
      <c r="N76" s="29">
        <f t="shared" si="3"/>
        <v>73565.58</v>
      </c>
      <c r="O76" s="39">
        <f t="shared" si="9"/>
        <v>1.0052260775521625E-2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>
        <v>50000</v>
      </c>
      <c r="J77" s="45"/>
      <c r="K77" s="45"/>
      <c r="L77" s="29">
        <f t="shared" ref="L77:L78" si="10">C77+D77-E77+F77-G77+H77+J77-I77-K77</f>
        <v>0</v>
      </c>
      <c r="M77" s="29"/>
      <c r="N77" s="29">
        <f t="shared" si="3"/>
        <v>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>
        <v>45000</v>
      </c>
      <c r="J78" s="45"/>
      <c r="K78" s="45"/>
      <c r="L78" s="29">
        <f t="shared" si="10"/>
        <v>1100</v>
      </c>
      <c r="M78" s="29"/>
      <c r="N78" s="29">
        <f t="shared" si="3"/>
        <v>1100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80+273+65.5+267.5+5785+14270.56+1200+250.59+1995.32+155.5+3346</f>
        <v>27688.969999999998</v>
      </c>
      <c r="N79" s="29">
        <f t="shared" si="3"/>
        <v>23311.030000000002</v>
      </c>
      <c r="O79" s="39">
        <f t="shared" si="9"/>
        <v>5.411488008333621E-3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1">C83+D83-E83+F83-G83+H83+J83-K83</f>
        <v>148784.1</v>
      </c>
      <c r="M83" s="29">
        <f>782.3+3384.3+2972.3+3318.7+4227.6+2430+4032.65+3133.5+3556.35+2084.25+12973.25</f>
        <v>42895.199999999997</v>
      </c>
      <c r="N83" s="29">
        <f t="shared" si="3"/>
        <v>105888.90000000001</v>
      </c>
      <c r="O83" s="39">
        <f t="shared" ref="O83:O119" si="12">M83/$M$138</f>
        <v>8.3833692771913271E-3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1"/>
        <v>0</v>
      </c>
      <c r="M84" s="29"/>
      <c r="N84" s="29">
        <f t="shared" si="3"/>
        <v>0</v>
      </c>
      <c r="O84" s="39">
        <f t="shared" si="12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1"/>
        <v>0</v>
      </c>
      <c r="M85" s="29"/>
      <c r="N85" s="29">
        <f t="shared" si="3"/>
        <v>0</v>
      </c>
      <c r="O85" s="39">
        <f t="shared" si="12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1"/>
        <v>0</v>
      </c>
      <c r="M86" s="29"/>
      <c r="N86" s="29">
        <f t="shared" si="3"/>
        <v>0</v>
      </c>
      <c r="O86" s="39">
        <f t="shared" si="12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1"/>
        <v>5000</v>
      </c>
      <c r="M87" s="29">
        <f>100+25.9+200+170+43.99+270.79+1000</f>
        <v>1810.68</v>
      </c>
      <c r="N87" s="29">
        <f t="shared" si="3"/>
        <v>3189.3199999999997</v>
      </c>
      <c r="O87" s="39">
        <f t="shared" si="12"/>
        <v>3.5387640302003009E-4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1"/>
        <v>33800</v>
      </c>
      <c r="M88" s="29">
        <f>1260+720+1925+8881.6+4200+4625</f>
        <v>21611.599999999999</v>
      </c>
      <c r="N88" s="29">
        <f t="shared" si="3"/>
        <v>12188.400000000001</v>
      </c>
      <c r="O88" s="39">
        <f t="shared" si="12"/>
        <v>4.2237365362779071E-3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>
        <v>3000</v>
      </c>
      <c r="I89" s="29"/>
      <c r="J89" s="45"/>
      <c r="K89" s="45"/>
      <c r="L89" s="29">
        <f t="shared" ref="L89" si="13">C89+D89-E89+F89-G89+H89+J89-I89-K89</f>
        <v>8250</v>
      </c>
      <c r="M89" s="29">
        <f>506.3+361.55+365.5+576.56+8+434+795.7+502.8+462+485+510.95</f>
        <v>5008.3599999999997</v>
      </c>
      <c r="N89" s="29">
        <f t="shared" si="3"/>
        <v>3241.6400000000003</v>
      </c>
      <c r="O89" s="39">
        <f t="shared" si="12"/>
        <v>9.7882586753562061E-4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1"/>
        <v>10500</v>
      </c>
      <c r="M90" s="29">
        <f>941.5+113+924.25+970.84+257.6+1032.74+1683.54+92.4+1005.29+703.46+375.23</f>
        <v>8099.85</v>
      </c>
      <c r="N90" s="29">
        <f t="shared" si="3"/>
        <v>2400.1499999999996</v>
      </c>
      <c r="O90" s="39">
        <f t="shared" si="12"/>
        <v>1.5830217283019589E-3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>
        <v>1000</v>
      </c>
      <c r="I91" s="29"/>
      <c r="J91" s="45"/>
      <c r="K91" s="45"/>
      <c r="L91" s="29">
        <f t="shared" ref="L91" si="14">C91+D91-E91+F91-G91+H91+J91-I91-K91</f>
        <v>4050</v>
      </c>
      <c r="M91" s="29">
        <f>69.8+860.8+22.5+20.75+493.6+143.6+270+180</f>
        <v>2061.0499999999997</v>
      </c>
      <c r="N91" s="29">
        <f t="shared" si="3"/>
        <v>1988.9500000000003</v>
      </c>
      <c r="O91" s="39">
        <f t="shared" si="12"/>
        <v>4.0280831535358699E-4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1"/>
        <v>875</v>
      </c>
      <c r="M92" s="29"/>
      <c r="N92" s="29">
        <f t="shared" si="3"/>
        <v>875</v>
      </c>
      <c r="O92" s="39">
        <f t="shared" si="12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1"/>
        <v>5500</v>
      </c>
      <c r="M93" s="29">
        <v>2700</v>
      </c>
      <c r="N93" s="29">
        <f t="shared" si="3"/>
        <v>2800</v>
      </c>
      <c r="O93" s="39">
        <f t="shared" si="12"/>
        <v>5.2768368135401133E-4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1"/>
        <v>2700</v>
      </c>
      <c r="M94" s="29">
        <f>550+360+90</f>
        <v>1000</v>
      </c>
      <c r="N94" s="29">
        <f t="shared" si="3"/>
        <v>1700</v>
      </c>
      <c r="O94" s="39">
        <f t="shared" si="12"/>
        <v>1.9543840050148566E-4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1"/>
        <v>2800</v>
      </c>
      <c r="M95" s="29">
        <f>469+547.99+29+335.95</f>
        <v>1381.94</v>
      </c>
      <c r="N95" s="29">
        <f t="shared" si="3"/>
        <v>1418.06</v>
      </c>
      <c r="O95" s="39">
        <f t="shared" si="12"/>
        <v>2.7008414318902311E-4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>
        <v>3000</v>
      </c>
      <c r="I96" s="29"/>
      <c r="J96" s="45"/>
      <c r="K96" s="45"/>
      <c r="L96" s="29">
        <f t="shared" si="11"/>
        <v>11500</v>
      </c>
      <c r="M96" s="29">
        <f>460+700+869+440+530.02+1265.41+705+1088+1121.04+710+900</f>
        <v>8788.4700000000012</v>
      </c>
      <c r="N96" s="29">
        <f t="shared" si="3"/>
        <v>2711.5299999999988</v>
      </c>
      <c r="O96" s="39">
        <f t="shared" si="12"/>
        <v>1.7176045196552921E-3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1"/>
        <v>6000</v>
      </c>
      <c r="M97" s="29">
        <f>62.5+745+50+193.98+170+20+200</f>
        <v>1441.48</v>
      </c>
      <c r="N97" s="29">
        <f t="shared" si="3"/>
        <v>4558.5200000000004</v>
      </c>
      <c r="O97" s="39">
        <f t="shared" si="12"/>
        <v>2.8172054555488155E-4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>
        <v>2000</v>
      </c>
      <c r="I98" s="29"/>
      <c r="J98" s="45"/>
      <c r="K98" s="45"/>
      <c r="L98" s="29">
        <f t="shared" si="11"/>
        <v>19500</v>
      </c>
      <c r="M98" s="29">
        <f>750+1760+486+1480.13+4725.97+3759.32+1639</f>
        <v>14600.42</v>
      </c>
      <c r="N98" s="29">
        <f t="shared" si="3"/>
        <v>4899.58</v>
      </c>
      <c r="O98" s="39">
        <f t="shared" si="12"/>
        <v>2.8534827314499016E-3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>
        <v>15000</v>
      </c>
      <c r="I99" s="29"/>
      <c r="J99" s="45"/>
      <c r="K99" s="45"/>
      <c r="L99" s="29">
        <f t="shared" si="11"/>
        <v>18000</v>
      </c>
      <c r="M99" s="29">
        <f>198.75+81+243.4+6481.27+451.44+144.44+134.1+304.09+484.24+196.7</f>
        <v>8719.43</v>
      </c>
      <c r="N99" s="29">
        <f t="shared" si="3"/>
        <v>9280.57</v>
      </c>
      <c r="O99" s="39">
        <f t="shared" si="12"/>
        <v>1.7041114524846692E-3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>
        <v>2000</v>
      </c>
      <c r="I100" s="29"/>
      <c r="J100" s="45"/>
      <c r="K100" s="45"/>
      <c r="L100" s="29">
        <f t="shared" si="11"/>
        <v>3500</v>
      </c>
      <c r="M100" s="29">
        <f>139+605.62+27+893.78+246+79</f>
        <v>1990.4</v>
      </c>
      <c r="N100" s="29">
        <f t="shared" ref="N100:N137" si="15">L100-M100</f>
        <v>1509.6</v>
      </c>
      <c r="O100" s="39">
        <f t="shared" si="12"/>
        <v>3.8900059235815712E-4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>
        <v>10000</v>
      </c>
      <c r="I101" s="29"/>
      <c r="J101" s="45"/>
      <c r="K101" s="45"/>
      <c r="L101" s="29">
        <f t="shared" si="11"/>
        <v>341653.07999999996</v>
      </c>
      <c r="M101" s="29">
        <f>69156.28+114221.15+150899.91</f>
        <v>334277.33999999997</v>
      </c>
      <c r="N101" s="29">
        <f t="shared" si="15"/>
        <v>7375.7399999999907</v>
      </c>
      <c r="O101" s="39">
        <f t="shared" si="12"/>
        <v>6.5330628653491291E-2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1"/>
        <v>0</v>
      </c>
      <c r="M102" s="29"/>
      <c r="N102" s="29">
        <f t="shared" si="15"/>
        <v>0</v>
      </c>
      <c r="O102" s="39">
        <f t="shared" si="12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1"/>
        <v>0</v>
      </c>
      <c r="M103" s="29"/>
      <c r="N103" s="29">
        <f t="shared" si="15"/>
        <v>0</v>
      </c>
      <c r="O103" s="39">
        <f t="shared" si="12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>
        <v>3000</v>
      </c>
      <c r="I104" s="29"/>
      <c r="J104" s="45"/>
      <c r="K104" s="45"/>
      <c r="L104" s="29">
        <f t="shared" si="11"/>
        <v>4500</v>
      </c>
      <c r="M104" s="29">
        <f>581+327.8</f>
        <v>908.8</v>
      </c>
      <c r="N104" s="29">
        <f t="shared" si="15"/>
        <v>3591.2</v>
      </c>
      <c r="O104" s="39">
        <f t="shared" si="12"/>
        <v>1.7761441837575018E-4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1"/>
        <v>0</v>
      </c>
      <c r="M105" s="29"/>
      <c r="N105" s="29">
        <f t="shared" si="15"/>
        <v>0</v>
      </c>
      <c r="O105" s="39">
        <f t="shared" si="12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>
        <v>15000</v>
      </c>
      <c r="I106" s="29"/>
      <c r="J106" s="45"/>
      <c r="K106" s="45"/>
      <c r="L106" s="29">
        <f t="shared" si="11"/>
        <v>15750</v>
      </c>
      <c r="M106" s="29">
        <f>12793.34+46.8</f>
        <v>12840.14</v>
      </c>
      <c r="N106" s="29">
        <f t="shared" si="15"/>
        <v>2909.8600000000006</v>
      </c>
      <c r="O106" s="39">
        <f t="shared" si="12"/>
        <v>2.5094564238151459E-3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1"/>
        <v>0</v>
      </c>
      <c r="M107" s="29"/>
      <c r="N107" s="29">
        <f t="shared" si="15"/>
        <v>0</v>
      </c>
      <c r="O107" s="39">
        <f t="shared" si="12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>
        <v>2000</v>
      </c>
      <c r="I108" s="29"/>
      <c r="J108" s="45"/>
      <c r="K108" s="45"/>
      <c r="L108" s="29">
        <f t="shared" si="11"/>
        <v>6800</v>
      </c>
      <c r="M108" s="29">
        <f>252.58+2571.75+376.13+473.5+167+173+25+714.3</f>
        <v>4753.26</v>
      </c>
      <c r="N108" s="29">
        <f t="shared" si="15"/>
        <v>2046.7399999999998</v>
      </c>
      <c r="O108" s="39">
        <f t="shared" si="12"/>
        <v>9.2896953156769186E-4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>
        <v>20000</v>
      </c>
      <c r="I109" s="29"/>
      <c r="J109" s="45"/>
      <c r="K109" s="45"/>
      <c r="L109" s="29">
        <f t="shared" si="11"/>
        <v>48800</v>
      </c>
      <c r="M109" s="29">
        <f>3725+6961.98+31274.47+521.3</f>
        <v>42482.75</v>
      </c>
      <c r="N109" s="29">
        <f t="shared" si="15"/>
        <v>6317.25</v>
      </c>
      <c r="O109" s="39">
        <f t="shared" si="12"/>
        <v>8.30276070890449E-3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>
        <v>176000</v>
      </c>
      <c r="J110" s="45"/>
      <c r="K110" s="45"/>
      <c r="L110" s="29">
        <f>C110+D110-E110+F110-G110+H110+J110-I110-K110</f>
        <v>974000</v>
      </c>
      <c r="M110" s="29">
        <f>7000+7000</f>
        <v>14000</v>
      </c>
      <c r="N110" s="29">
        <f t="shared" si="15"/>
        <v>960000</v>
      </c>
      <c r="O110" s="39">
        <f t="shared" si="12"/>
        <v>2.7361376070207995E-3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>
        <v>2000</v>
      </c>
      <c r="I111" s="29"/>
      <c r="J111" s="45"/>
      <c r="K111" s="45"/>
      <c r="L111" s="29">
        <f t="shared" si="11"/>
        <v>3500</v>
      </c>
      <c r="M111" s="29">
        <f>98+23.07+136.8+564.86+293.72</f>
        <v>1116.45</v>
      </c>
      <c r="N111" s="29">
        <f t="shared" si="15"/>
        <v>2383.5500000000002</v>
      </c>
      <c r="O111" s="39">
        <f t="shared" si="12"/>
        <v>2.1819720223988369E-4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1"/>
        <v>0</v>
      </c>
      <c r="M112" s="29"/>
      <c r="N112" s="29">
        <f t="shared" si="15"/>
        <v>0</v>
      </c>
      <c r="O112" s="39">
        <f t="shared" si="12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1"/>
        <v>6600</v>
      </c>
      <c r="M113" s="29">
        <f>150.8+236.6+203.5+101.05+185.2+366.05+349+69.7+61.55</f>
        <v>1723.4499999999998</v>
      </c>
      <c r="N113" s="29">
        <f t="shared" si="15"/>
        <v>4876.55</v>
      </c>
      <c r="O113" s="39">
        <f t="shared" si="12"/>
        <v>3.3682831134428543E-4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1"/>
        <v>4000</v>
      </c>
      <c r="M114" s="29">
        <f>62.64+157.34+62.55+103.94+248.09+68.15+59.3+7.5</f>
        <v>769.51</v>
      </c>
      <c r="N114" s="29">
        <f t="shared" si="15"/>
        <v>3230.49</v>
      </c>
      <c r="O114" s="39">
        <f t="shared" si="12"/>
        <v>1.5039180356989825E-4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1"/>
        <v>25251.9</v>
      </c>
      <c r="M115" s="29">
        <f>4500+12091</f>
        <v>16591</v>
      </c>
      <c r="N115" s="29">
        <f t="shared" si="15"/>
        <v>8660.9000000000015</v>
      </c>
      <c r="O115" s="39">
        <f t="shared" si="12"/>
        <v>3.2425185027201487E-3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1"/>
        <v>2000</v>
      </c>
      <c r="M116" s="29"/>
      <c r="N116" s="29">
        <f t="shared" si="15"/>
        <v>2000</v>
      </c>
      <c r="O116" s="39">
        <f t="shared" si="12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>
        <v>10000</v>
      </c>
      <c r="I117" s="29"/>
      <c r="J117" s="45"/>
      <c r="K117" s="45"/>
      <c r="L117" s="29">
        <f t="shared" si="11"/>
        <v>19500</v>
      </c>
      <c r="M117" s="29">
        <f>46+262+10940.08+4201.49-1512.51+1137.12+178+149.5+80</f>
        <v>15481.68</v>
      </c>
      <c r="N117" s="29">
        <f t="shared" si="15"/>
        <v>4018.3199999999997</v>
      </c>
      <c r="O117" s="39">
        <f t="shared" si="12"/>
        <v>3.0257147762758406E-3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1"/>
        <v>76000</v>
      </c>
      <c r="M118" s="29">
        <f>101+3685.03+361.78</f>
        <v>4147.8100000000004</v>
      </c>
      <c r="N118" s="29">
        <f t="shared" si="15"/>
        <v>71852.19</v>
      </c>
      <c r="O118" s="39">
        <f t="shared" si="12"/>
        <v>8.106413519840674E-4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>
        <v>15000</v>
      </c>
      <c r="I119" s="29"/>
      <c r="J119" s="45"/>
      <c r="K119" s="45"/>
      <c r="L119" s="29">
        <f t="shared" si="11"/>
        <v>24500</v>
      </c>
      <c r="M119" s="29">
        <f>287+760.6+2770.11+247.15+1712.08-0.01+1077.75+819.63+1026.12+502+520.55+1171.35</f>
        <v>10894.33</v>
      </c>
      <c r="N119" s="29">
        <f t="shared" si="15"/>
        <v>13605.67</v>
      </c>
      <c r="O119" s="39">
        <f t="shared" si="12"/>
        <v>2.1291704297353503E-3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29" si="16">C124+D124-E124+F124-G124+H124+J124-K124</f>
        <v>10000</v>
      </c>
      <c r="M124" s="29">
        <f>2700+1000</f>
        <v>3700</v>
      </c>
      <c r="N124" s="29">
        <f t="shared" si="15"/>
        <v>6300</v>
      </c>
      <c r="O124" s="39">
        <f>M124/$M$138</f>
        <v>7.2312208185549697E-4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6"/>
        <v>0</v>
      </c>
      <c r="M125" s="29"/>
      <c r="N125" s="29">
        <f t="shared" si="15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6"/>
        <v>304035</v>
      </c>
      <c r="M126" s="29"/>
      <c r="N126" s="29">
        <f t="shared" si="15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6"/>
        <v>1500</v>
      </c>
      <c r="M127" s="29"/>
      <c r="N127" s="29">
        <f t="shared" si="15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6"/>
        <v>40000</v>
      </c>
      <c r="M128" s="29">
        <v>14992</v>
      </c>
      <c r="N128" s="29">
        <f t="shared" si="15"/>
        <v>25008</v>
      </c>
      <c r="O128" s="39">
        <f>+M128/M138</f>
        <v>2.930012500318273E-3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6"/>
        <v>14300</v>
      </c>
      <c r="M129" s="29">
        <v>6290</v>
      </c>
      <c r="N129" s="29">
        <f t="shared" si="15"/>
        <v>8010</v>
      </c>
      <c r="O129" s="39">
        <f>M129/$M$138</f>
        <v>1.2293075391543449E-3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ref="L130" si="17">C130+D130-E130+F130-G130+J130-K130</f>
        <v>0</v>
      </c>
      <c r="M130" s="29"/>
      <c r="N130" s="29">
        <f t="shared" si="15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ref="L134:L135" si="18">C134+D134-E134+F134-G134+H134+J134-K134</f>
        <v>185900</v>
      </c>
      <c r="M134" s="29">
        <v>51205.02</v>
      </c>
      <c r="N134" s="29">
        <f t="shared" si="15"/>
        <v>134694.98000000001</v>
      </c>
      <c r="O134" s="39">
        <f>M134/$M$138</f>
        <v>1.0007427206446583E-2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8"/>
        <v>7170</v>
      </c>
      <c r="M135" s="29">
        <v>2256</v>
      </c>
      <c r="N135" s="29">
        <f t="shared" si="15"/>
        <v>4914</v>
      </c>
      <c r="O135" s="39">
        <f>M135/$M$138</f>
        <v>4.4090903153135166E-4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>
        <v>45000</v>
      </c>
      <c r="I136" s="29"/>
      <c r="J136" s="45"/>
      <c r="K136" s="45"/>
      <c r="L136" s="29">
        <f>C136+D136-E136+F136-G136+H136+J136-K136</f>
        <v>115000</v>
      </c>
      <c r="M136" s="29">
        <f>750+1500+1500+1500+1500+1500+1500+56626.94+1000+20247.46+16053.93</f>
        <v>103678.32999999999</v>
      </c>
      <c r="N136" s="29">
        <f t="shared" si="15"/>
        <v>11321.670000000013</v>
      </c>
      <c r="O136" s="39">
        <f>M136/$M$138</f>
        <v>2.0262726981865195E-2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ref="L137" si="19">C137+D137-E137+F137-G137+H137+J137-K137</f>
        <v>8750</v>
      </c>
      <c r="M137" s="29">
        <f>3210.77+384.24</f>
        <v>3595.01</v>
      </c>
      <c r="N137" s="29">
        <f t="shared" si="15"/>
        <v>5154.99</v>
      </c>
      <c r="O137" s="39">
        <f>M137/$M$138</f>
        <v>7.0260300418684607E-4</v>
      </c>
    </row>
    <row r="138" spans="1:15" ht="18" customHeight="1" thickBot="1" x14ac:dyDescent="0.3">
      <c r="A138" s="33"/>
      <c r="B138" s="34" t="s">
        <v>92</v>
      </c>
      <c r="C138" s="35">
        <f t="shared" ref="C138:N138" si="20">SUM(C31:C137)</f>
        <v>7829870.540000001</v>
      </c>
      <c r="D138" s="35">
        <f t="shared" si="20"/>
        <v>428653.07999999996</v>
      </c>
      <c r="E138" s="35">
        <f t="shared" si="20"/>
        <v>0</v>
      </c>
      <c r="F138" s="35">
        <f t="shared" si="20"/>
        <v>992800</v>
      </c>
      <c r="G138" s="35">
        <f t="shared" si="20"/>
        <v>992800</v>
      </c>
      <c r="H138" s="35">
        <f t="shared" si="20"/>
        <v>731000</v>
      </c>
      <c r="I138" s="35">
        <f t="shared" si="20"/>
        <v>731000</v>
      </c>
      <c r="J138" s="65">
        <f t="shared" si="20"/>
        <v>0</v>
      </c>
      <c r="K138" s="65">
        <f t="shared" si="20"/>
        <v>0</v>
      </c>
      <c r="L138" s="35">
        <f>SUM(L31:L137)</f>
        <v>8258523.6200000001</v>
      </c>
      <c r="M138" s="35">
        <f>SUM(M31:M137)</f>
        <v>5116701.7199999969</v>
      </c>
      <c r="N138" s="35">
        <f t="shared" si="20"/>
        <v>3141821.8999999994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5349608.7699999996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-5116701.7199999969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2269543.8700000029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ht="12" customHeight="1" x14ac:dyDescent="0.2">
      <c r="A157" s="55" t="s">
        <v>269</v>
      </c>
      <c r="B157" s="53"/>
      <c r="C157" s="70">
        <v>139.29</v>
      </c>
      <c r="D157" s="4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152</v>
      </c>
      <c r="B158" s="53"/>
      <c r="C158" s="70">
        <f>3019.6+6670.62+625.17</f>
        <v>10315.39</v>
      </c>
      <c r="D158" s="80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151</v>
      </c>
      <c r="B159" s="53"/>
      <c r="C159" s="70">
        <v>1861.55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150</v>
      </c>
      <c r="B160" s="53"/>
      <c r="C160" s="70">
        <f>10489.56+58.04</f>
        <v>10547.6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270</v>
      </c>
      <c r="B161" s="53"/>
      <c r="C161" s="70">
        <v>-15</v>
      </c>
      <c r="D161" s="81"/>
      <c r="E161" s="4"/>
      <c r="F161" s="4"/>
      <c r="G161" s="4"/>
      <c r="H161" s="4"/>
      <c r="I161" s="4"/>
      <c r="J161" s="67"/>
      <c r="K161" s="67"/>
      <c r="L161" s="4"/>
    </row>
    <row r="162" spans="1:13" x14ac:dyDescent="0.2">
      <c r="A162" s="55" t="s">
        <v>279</v>
      </c>
      <c r="B162" s="53"/>
      <c r="C162" s="70">
        <f>-3.92</f>
        <v>-3.92</v>
      </c>
      <c r="D162" s="81"/>
      <c r="E162" s="4"/>
      <c r="F162" s="4"/>
      <c r="G162" s="4"/>
      <c r="H162" s="4"/>
      <c r="I162" s="4"/>
      <c r="J162" s="67"/>
      <c r="K162" s="67"/>
      <c r="L162" s="4"/>
    </row>
    <row r="163" spans="1:13" x14ac:dyDescent="0.2">
      <c r="A163" s="55" t="s">
        <v>268</v>
      </c>
      <c r="B163" s="53"/>
      <c r="C163" s="70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1"/>
      <c r="D164" s="82"/>
      <c r="E164" s="83"/>
      <c r="F164" s="4"/>
      <c r="G164" s="4"/>
      <c r="H164" s="4"/>
      <c r="I164" s="4"/>
      <c r="J164" s="67"/>
      <c r="K164" s="67"/>
      <c r="L164" s="4"/>
    </row>
    <row r="165" spans="1:13" ht="15.75" x14ac:dyDescent="0.25">
      <c r="A165" s="56"/>
      <c r="B165" s="57"/>
      <c r="C165" s="72">
        <f>SUM(C155:C164)</f>
        <v>23166.910000000003</v>
      </c>
      <c r="D165" s="82"/>
      <c r="E165" s="83"/>
      <c r="F165" s="4"/>
      <c r="G165" s="4"/>
      <c r="H165" s="4"/>
      <c r="I165" s="4"/>
      <c r="J165" s="67"/>
      <c r="K165" s="67"/>
      <c r="L165" s="4"/>
    </row>
    <row r="166" spans="1:13" ht="2.1" customHeight="1" x14ac:dyDescent="0.25">
      <c r="A166" s="56"/>
      <c r="B166" s="57"/>
      <c r="C166" s="73"/>
      <c r="D166" s="81"/>
      <c r="E166" s="4"/>
      <c r="F166" s="4"/>
      <c r="G166" s="4"/>
      <c r="H166" s="4"/>
      <c r="I166" s="4"/>
      <c r="J166" s="67"/>
      <c r="K166" s="67"/>
      <c r="L166" s="4"/>
    </row>
    <row r="167" spans="1:13" x14ac:dyDescent="0.2">
      <c r="A167" s="55"/>
      <c r="B167" s="53"/>
      <c r="C167" s="70"/>
      <c r="D167" s="81"/>
      <c r="E167" s="4"/>
      <c r="F167" s="4"/>
      <c r="G167" s="4"/>
      <c r="H167" s="4"/>
      <c r="I167" s="4"/>
      <c r="J167" s="67"/>
      <c r="K167" s="67"/>
      <c r="L167" s="4"/>
    </row>
    <row r="168" spans="1:13" ht="2.1" customHeight="1" thickBot="1" x14ac:dyDescent="0.3">
      <c r="A168" s="58" t="s">
        <v>244</v>
      </c>
      <c r="B168" s="59"/>
      <c r="C168" s="69">
        <f>C152+C165</f>
        <v>2292710.7800000031</v>
      </c>
      <c r="D168" s="80"/>
      <c r="E168" s="4"/>
      <c r="F168" s="4"/>
      <c r="G168" s="4"/>
      <c r="H168" s="4"/>
      <c r="I168" s="4"/>
      <c r="J168" s="67"/>
      <c r="K168" s="67"/>
      <c r="L168" s="4"/>
    </row>
    <row r="169" spans="1:13" ht="9.9499999999999993" customHeight="1" x14ac:dyDescent="0.2">
      <c r="A169" s="55"/>
      <c r="B169" s="53"/>
      <c r="C169" s="70"/>
      <c r="D169" s="80"/>
      <c r="E169" s="4"/>
      <c r="F169" s="4"/>
      <c r="G169" s="4"/>
      <c r="H169" s="4"/>
      <c r="I169" s="4"/>
      <c r="J169" s="67"/>
      <c r="K169" s="67"/>
      <c r="L169" s="4"/>
    </row>
    <row r="170" spans="1:13" ht="16.5" thickBot="1" x14ac:dyDescent="0.3">
      <c r="A170" s="58" t="s">
        <v>283</v>
      </c>
      <c r="B170" s="59"/>
      <c r="C170" s="69">
        <f>C152+C165</f>
        <v>2292710.7800000031</v>
      </c>
      <c r="D170" s="82"/>
      <c r="E170" s="4"/>
      <c r="F170" s="4"/>
      <c r="G170" s="4"/>
      <c r="H170" s="4"/>
      <c r="I170" s="4"/>
      <c r="J170" s="67"/>
      <c r="K170" s="67"/>
      <c r="L170" s="4"/>
      <c r="M170" s="4"/>
    </row>
    <row r="171" spans="1:13" x14ac:dyDescent="0.2">
      <c r="A171" s="53"/>
      <c r="C171" s="4"/>
      <c r="D171" s="4"/>
      <c r="E171" s="4"/>
      <c r="F171" s="4"/>
      <c r="G171" s="4"/>
      <c r="H171" s="4"/>
      <c r="I171" s="4"/>
      <c r="J171" s="67"/>
      <c r="K171" s="67"/>
      <c r="L171" s="4"/>
    </row>
    <row r="172" spans="1:13" x14ac:dyDescent="0.2">
      <c r="C172" s="4"/>
      <c r="D172" s="4"/>
      <c r="E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67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C182" s="13" t="s">
        <v>231</v>
      </c>
      <c r="G182" s="11" t="s">
        <v>264</v>
      </c>
      <c r="J182" s="13" t="s">
        <v>240</v>
      </c>
      <c r="K182" s="75"/>
    </row>
    <row r="183" spans="2:12" x14ac:dyDescent="0.2">
      <c r="B183" s="11" t="s">
        <v>90</v>
      </c>
      <c r="C183" s="13" t="s">
        <v>91</v>
      </c>
      <c r="G183" s="11" t="s">
        <v>265</v>
      </c>
      <c r="J183" s="11" t="s">
        <v>249</v>
      </c>
    </row>
    <row r="187" spans="2:12" x14ac:dyDescent="0.2">
      <c r="I187" s="4"/>
      <c r="K187" s="67"/>
      <c r="L187" s="4"/>
    </row>
    <row r="188" spans="2:12" x14ac:dyDescent="0.2">
      <c r="I188" s="4"/>
      <c r="K188" s="67"/>
      <c r="L188" s="4"/>
    </row>
    <row r="189" spans="2:12" x14ac:dyDescent="0.2">
      <c r="G189" s="60"/>
      <c r="I189" s="60"/>
      <c r="K189" s="68"/>
      <c r="L189" s="4"/>
    </row>
    <row r="190" spans="2:12" x14ac:dyDescent="0.2">
      <c r="G190" s="60"/>
      <c r="I190" s="60"/>
      <c r="K190" s="68"/>
      <c r="L190" s="4"/>
    </row>
    <row r="191" spans="2:12" x14ac:dyDescent="0.2">
      <c r="G191" s="60"/>
      <c r="L191" s="4"/>
    </row>
    <row r="192" spans="2:12" x14ac:dyDescent="0.2">
      <c r="G192" s="60"/>
    </row>
    <row r="193" spans="7:12" x14ac:dyDescent="0.2">
      <c r="G193" s="60"/>
    </row>
    <row r="194" spans="7:12" x14ac:dyDescent="0.2">
      <c r="G194" s="60"/>
      <c r="L194" s="4"/>
    </row>
    <row r="195" spans="7:12" x14ac:dyDescent="0.2">
      <c r="G195" s="60"/>
    </row>
    <row r="196" spans="7:12" x14ac:dyDescent="0.2">
      <c r="G196" s="60"/>
    </row>
    <row r="197" spans="7:12" x14ac:dyDescent="0.2">
      <c r="G197" s="60"/>
    </row>
    <row r="198" spans="7:12" x14ac:dyDescent="0.2">
      <c r="G198" s="60"/>
    </row>
    <row r="199" spans="7:12" x14ac:dyDescent="0.2">
      <c r="G199" s="60"/>
    </row>
    <row r="200" spans="7:12" x14ac:dyDescent="0.2">
      <c r="G200" s="60"/>
    </row>
    <row r="201" spans="7:12" x14ac:dyDescent="0.2">
      <c r="G201" s="60"/>
    </row>
    <row r="202" spans="7:12" x14ac:dyDescent="0.2">
      <c r="G202" s="60"/>
    </row>
    <row r="203" spans="7:12" x14ac:dyDescent="0.2">
      <c r="G203" s="60"/>
    </row>
    <row r="204" spans="7:12" x14ac:dyDescent="0.2">
      <c r="G204" s="60"/>
    </row>
    <row r="205" spans="7:12" x14ac:dyDescent="0.2">
      <c r="G205" s="60"/>
    </row>
    <row r="206" spans="7:12" x14ac:dyDescent="0.2">
      <c r="G206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27" max="14" man="1"/>
    <brk id="119" max="16383" man="1"/>
  </rowBreaks>
  <ignoredErrors>
    <ignoredError sqref="L12 L63 L73 L89 L9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B7FCE-D320-46FA-A86F-0CFF34A88A61}">
  <dimension ref="A1:O206"/>
  <sheetViews>
    <sheetView tabSelected="1" topLeftCell="A124" zoomScaleNormal="100" workbookViewId="0">
      <selection activeCell="H124" sqref="H124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285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15000+6800+2800+200+400+400+1000+650+450+0.34</f>
        <v>27700.34</v>
      </c>
      <c r="N10" s="29">
        <f t="shared" ref="N10:N22" si="1">L10-M10</f>
        <v>9299.66</v>
      </c>
      <c r="O10" s="28">
        <f>M10/$M$26</f>
        <v>4.6673372374113542E-3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>
        <v>20000</v>
      </c>
      <c r="I12" s="29"/>
      <c r="J12" s="45"/>
      <c r="K12" s="45"/>
      <c r="L12" s="29">
        <f>C12+D12-E12+F12-G12+H12+J12-K12</f>
        <v>50500</v>
      </c>
      <c r="M12" s="29">
        <f>3395+3655+2040+4065+3690+3255+3810+10145+12880+1620</f>
        <v>48555</v>
      </c>
      <c r="N12" s="29">
        <f t="shared" si="1"/>
        <v>1945</v>
      </c>
      <c r="O12" s="28">
        <f>M12/$M$26</f>
        <v>8.1812194205019961E-3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>
        <v>3500</v>
      </c>
      <c r="I15" s="29"/>
      <c r="J15" s="45"/>
      <c r="K15" s="45"/>
      <c r="L15" s="29">
        <f>C15+D15-E15+F15-G15+H15+J15-K15</f>
        <v>12300</v>
      </c>
      <c r="M15" s="29">
        <f>1190.19+1066.17+1152.99+1192.01+991.39+751.35+820.8+845.14+946.88+1162.94+1113.21+1236.49</f>
        <v>12469.560000000003</v>
      </c>
      <c r="N15" s="29">
        <f t="shared" si="1"/>
        <v>-169.56000000000313</v>
      </c>
      <c r="O15" s="28">
        <f>M15/$M$26</f>
        <v>2.1010443092805047E-3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>
        <v>23500</v>
      </c>
      <c r="J18" s="45"/>
      <c r="K18" s="45"/>
      <c r="L18" s="29">
        <f>C18+D18-E18+F18-G18+J18-I18-K18</f>
        <v>3646449.52</v>
      </c>
      <c r="M18" s="29">
        <f>249709.38+249709.38+360686.22+256701.66+256701.66+256701.66+312274.32+256701.66+312274.32+403322.03+606024.43</f>
        <v>3520806.72</v>
      </c>
      <c r="N18" s="29">
        <f t="shared" si="1"/>
        <v>125642.79999999981</v>
      </c>
      <c r="O18" s="28">
        <f>M18/$M$26</f>
        <v>0.59323431806194904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f>463102.27+457387.6-20220.24+68514+57492.44+40714+497739.79+27188.9-54759.31+747223.38-15803.93+39958.12-21935.7</f>
        <v>2286601.3199999998</v>
      </c>
      <c r="N20" s="29">
        <f t="shared" si="1"/>
        <v>398892.08000000007</v>
      </c>
      <c r="O20" s="28">
        <f>M20/$M$26</f>
        <v>0.38527828495787253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>
        <f>22997.46+15803.93</f>
        <v>38801.39</v>
      </c>
      <c r="N22" s="29">
        <f t="shared" si="1"/>
        <v>11198.61</v>
      </c>
      <c r="O22" s="28">
        <f>M22/$M$26</f>
        <v>6.5377960129846969E-3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23500</v>
      </c>
      <c r="I26" s="35">
        <f t="shared" si="2"/>
        <v>23500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5934934.3299999991</v>
      </c>
      <c r="N26" s="35">
        <f t="shared" si="2"/>
        <v>2323589.29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>
        <v>39000</v>
      </c>
      <c r="J31" s="45"/>
      <c r="K31" s="45"/>
      <c r="L31" s="29">
        <f>C31+D31-E31+F31-G31+H31+J31-I31-K31</f>
        <v>775572.04</v>
      </c>
      <c r="M31" s="29">
        <f>62454.4+62454.4+62454.4+62454.4+62454.4+62454.4+61326.4+62436.4+62436.4+62436.4+62517.48+62517.48</f>
        <v>748396.96000000008</v>
      </c>
      <c r="N31" s="29">
        <f t="shared" ref="N31:N99" si="3">L31-M31</f>
        <v>27175.079999999958</v>
      </c>
      <c r="O31" s="39">
        <f>M31/$M$138</f>
        <v>0.13709023278589438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>
        <v>1000</v>
      </c>
      <c r="I32" s="29"/>
      <c r="J32" s="45"/>
      <c r="K32" s="45"/>
      <c r="L32" s="29">
        <f t="shared" ref="L32:L41" si="4">C32+D32-E32+F32-G32+H32+J32-K32</f>
        <v>14700</v>
      </c>
      <c r="M32" s="29">
        <f>1125+1125+1125+1125+1125+1125+1125+1125+1125+1125+1125+1125</f>
        <v>13500</v>
      </c>
      <c r="N32" s="29">
        <f t="shared" si="3"/>
        <v>1200</v>
      </c>
      <c r="O32" s="39">
        <f>M32/$M$138</f>
        <v>2.4729097544832013E-3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si="4"/>
        <v>311100</v>
      </c>
      <c r="M33" s="29">
        <f>22349+22349+22349+22349+22349+22349+22937.25+21049+21049+21049+21049+36677.77</f>
        <v>277905.02</v>
      </c>
      <c r="N33" s="29">
        <f t="shared" si="3"/>
        <v>33194.979999999981</v>
      </c>
      <c r="O33" s="39">
        <f>M33/$M$138</f>
        <v>5.0906224798359198E-2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>
        <v>30000</v>
      </c>
      <c r="I34" s="29"/>
      <c r="J34" s="45"/>
      <c r="K34" s="45"/>
      <c r="L34" s="29">
        <f t="shared" si="4"/>
        <v>184000</v>
      </c>
      <c r="M34" s="29">
        <f>17142.84+17142.84+17142.84+17142.84+17142.84+17142.84+17142.94+15000+15000+15000+15000</f>
        <v>179999.97999999998</v>
      </c>
      <c r="N34" s="29">
        <f t="shared" si="3"/>
        <v>4000.0200000000186</v>
      </c>
      <c r="O34" s="39">
        <f>M34/$M$138</f>
        <v>3.2972126396206003E-2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3985.95+1853.84+1927.62+3390.46+5053.81+1259.19+5124.71+4421.55+284.88+503.74</f>
        <v>27805.75</v>
      </c>
      <c r="N36" s="29">
        <f t="shared" si="3"/>
        <v>6705.0500000000029</v>
      </c>
      <c r="O36" s="39">
        <f t="shared" si="5"/>
        <v>5.0934155856089828E-3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6663.88+7089.19+6861.69+6869.56+7025.65+7203.13+6918.6+7208.77+7133.74+6701.01+6670.62+6724.36</f>
        <v>83070.2</v>
      </c>
      <c r="N37" s="29">
        <f t="shared" si="3"/>
        <v>4330.9499999999971</v>
      </c>
      <c r="O37" s="39">
        <f t="shared" si="5"/>
        <v>1.5216674658286697E-2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624.54+664.4+643.08+643.82+658.45+675.08+648.42+675.61+668.58+627.21+625.17+630.21</f>
        <v>7784.57</v>
      </c>
      <c r="N38" s="29">
        <f t="shared" si="3"/>
        <v>406.27000000000044</v>
      </c>
      <c r="O38" s="39">
        <f t="shared" si="5"/>
        <v>1.4259658583301697E-3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>
        <v>7000</v>
      </c>
      <c r="I39" s="29"/>
      <c r="J39" s="45"/>
      <c r="K39" s="45"/>
      <c r="L39" s="29">
        <f t="shared" si="4"/>
        <v>74581.009999999995</v>
      </c>
      <c r="M39" s="29">
        <f>4394.56+59462.1</f>
        <v>63856.659999999996</v>
      </c>
      <c r="N39" s="29">
        <f t="shared" si="3"/>
        <v>10724.349999999999</v>
      </c>
      <c r="O39" s="39">
        <f t="shared" si="5"/>
        <v>1.1697167215016091E-2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>
        <v>62683.92</v>
      </c>
      <c r="N40" s="29">
        <f t="shared" si="3"/>
        <v>4897.0899999999965</v>
      </c>
      <c r="O40" s="39">
        <f t="shared" si="5"/>
        <v>1.1482346460536638E-2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>
        <v>1000</v>
      </c>
      <c r="I41" s="29"/>
      <c r="J41" s="45"/>
      <c r="K41" s="45"/>
      <c r="L41" s="29">
        <f t="shared" si="4"/>
        <v>5400</v>
      </c>
      <c r="M41" s="29">
        <f>225.75+4167.67</f>
        <v>4393.42</v>
      </c>
      <c r="N41" s="29">
        <f t="shared" si="3"/>
        <v>1006.5799999999999</v>
      </c>
      <c r="O41" s="39">
        <f t="shared" si="5"/>
        <v>8.0478008692900637E-4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>
        <v>5000</v>
      </c>
      <c r="I45" s="29"/>
      <c r="J45" s="45"/>
      <c r="K45" s="45"/>
      <c r="L45" s="29">
        <f t="shared" ref="L45:L79" si="6">C45+D45-E45+F45-G45+H45+J45-K45</f>
        <v>18750</v>
      </c>
      <c r="M45" s="29">
        <f>465.85+1911.83+1651.66+1641.4+1491.35+1597.4+1291.61+1694.72+1512.31+1291.22+1563.92+1340.96</f>
        <v>17454.23</v>
      </c>
      <c r="N45" s="29">
        <f t="shared" si="3"/>
        <v>1295.7700000000004</v>
      </c>
      <c r="O45" s="39">
        <f t="shared" ref="O45:O54" si="7">M45/$M$138</f>
        <v>3.1972396758513572E-3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4700.89+616.64+610.24+619.85+608+631.42+612.44+1071.56+608+608+608+608</f>
        <v>11903.04</v>
      </c>
      <c r="N46" s="29">
        <f t="shared" si="3"/>
        <v>14196.96</v>
      </c>
      <c r="O46" s="39">
        <f t="shared" si="7"/>
        <v>2.1803810165928685E-3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3.7368414067746148E-4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 t="shared" si="6"/>
        <v>14250</v>
      </c>
      <c r="M49" s="29">
        <f>15+2240+725+367.5+3705+36+768+25+17.5+128.15+40.5+26.6</f>
        <v>8094.25</v>
      </c>
      <c r="N49" s="29">
        <f t="shared" si="3"/>
        <v>6155.75</v>
      </c>
      <c r="O49" s="39">
        <f t="shared" si="7"/>
        <v>1.4826925763130111E-3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>
        <v>300000</v>
      </c>
      <c r="I50" s="29"/>
      <c r="J50" s="45"/>
      <c r="K50" s="45"/>
      <c r="L50" s="29">
        <f t="shared" si="6"/>
        <v>973088.47</v>
      </c>
      <c r="M50" s="29">
        <f>378743.69+21726.93+247166.87+201715.16+39161.44</f>
        <v>888514.09000000008</v>
      </c>
      <c r="N50" s="29">
        <f t="shared" si="3"/>
        <v>84574.379999999888</v>
      </c>
      <c r="O50" s="39">
        <f t="shared" si="7"/>
        <v>0.16275667853013073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>
        <v>100000</v>
      </c>
      <c r="I51" s="29"/>
      <c r="J51" s="45"/>
      <c r="K51" s="45"/>
      <c r="L51" s="29">
        <f t="shared" si="6"/>
        <v>663742.69999999995</v>
      </c>
      <c r="M51" s="29">
        <f>7164.11+116434.25+133833.94+5432.58+1073.18+24956.58+12537.96+168949.59+138844.01+8789.61</f>
        <v>618015.81000000006</v>
      </c>
      <c r="N51" s="29">
        <f t="shared" si="3"/>
        <v>45726.889999999898</v>
      </c>
      <c r="O51" s="39">
        <f t="shared" si="7"/>
        <v>0.11320720925732125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>
        <v>100000</v>
      </c>
      <c r="I52" s="29"/>
      <c r="J52" s="45"/>
      <c r="K52" s="45"/>
      <c r="L52" s="29">
        <f t="shared" si="6"/>
        <v>600985.37</v>
      </c>
      <c r="M52" s="29">
        <f>10463.32+70410.62+88302.55+40613.73+25589.39+126199.79+18982.85+1846.02+38523.27+70353.53+3357.41</f>
        <v>494642.47999999992</v>
      </c>
      <c r="N52" s="29">
        <f t="shared" si="3"/>
        <v>106342.89000000007</v>
      </c>
      <c r="O52" s="39">
        <f t="shared" si="7"/>
        <v>9.0607867686945301E-2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>
        <v>175000</v>
      </c>
      <c r="J53" s="45"/>
      <c r="K53" s="45"/>
      <c r="L53" s="29">
        <f>C53+D53-E53+F53-G53+H53+J53-I53-K53</f>
        <v>50000</v>
      </c>
      <c r="M53" s="29">
        <f>800+23101.17+4780+10875</f>
        <v>39556.17</v>
      </c>
      <c r="N53" s="29">
        <f t="shared" si="3"/>
        <v>10443.830000000002</v>
      </c>
      <c r="O53" s="39">
        <f t="shared" si="7"/>
        <v>7.2458398994811671E-3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>
        <v>70000</v>
      </c>
      <c r="J54" s="45"/>
      <c r="K54" s="45"/>
      <c r="L54" s="29">
        <f>C54+D54-E54+F54-G54+H54+J54-I54-K54</f>
        <v>5000</v>
      </c>
      <c r="M54" s="29">
        <f>219+2826.25</f>
        <v>3045.25</v>
      </c>
      <c r="N54" s="29">
        <f t="shared" si="3"/>
        <v>1954.75</v>
      </c>
      <c r="O54" s="39">
        <f t="shared" si="7"/>
        <v>5.5782432813629391E-4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>
        <v>2000</v>
      </c>
      <c r="I55" s="29"/>
      <c r="J55" s="45"/>
      <c r="K55" s="45"/>
      <c r="L55" s="29">
        <f t="shared" si="6"/>
        <v>92000</v>
      </c>
      <c r="M55" s="29">
        <f>15000+7500+7500+7500+7500+7500+7500+7500+7500+7500+7500</f>
        <v>90000</v>
      </c>
      <c r="N55" s="29">
        <f t="shared" si="3"/>
        <v>2000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>
        <v>3068.8</v>
      </c>
      <c r="N56" s="29">
        <f t="shared" si="3"/>
        <v>1331.1999999999998</v>
      </c>
      <c r="O56" s="39">
        <f t="shared" ref="O56:O61" si="8">M56/$M$138</f>
        <v>5.6213818181911467E-4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>
        <v>1700</v>
      </c>
      <c r="N58" s="29">
        <f t="shared" si="3"/>
        <v>6050</v>
      </c>
      <c r="O58" s="39">
        <f t="shared" si="8"/>
        <v>3.1140345056455124E-4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f>170.04+268</f>
        <v>438.03999999999996</v>
      </c>
      <c r="N59" s="29">
        <f t="shared" si="3"/>
        <v>6561.96</v>
      </c>
      <c r="O59" s="39">
        <f t="shared" si="8"/>
        <v>8.0239510285468247E-5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f>150+4480</f>
        <v>4630</v>
      </c>
      <c r="N60" s="29">
        <f t="shared" si="3"/>
        <v>9370</v>
      </c>
      <c r="O60" s="39">
        <f t="shared" si="8"/>
        <v>8.4811645653757196E-4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>
        <v>75000</v>
      </c>
      <c r="J63" s="45"/>
      <c r="K63" s="45"/>
      <c r="L63" s="29">
        <f>C63+D63-E63+F63-G63+H63+J63-I63-K63</f>
        <v>40000</v>
      </c>
      <c r="M63" s="29">
        <f>30063.05+235.71+482.14+1990+5110.47</f>
        <v>37881.369999999995</v>
      </c>
      <c r="N63" s="29">
        <f t="shared" si="3"/>
        <v>2118.6300000000047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>
        <v>25000</v>
      </c>
      <c r="I64" s="29"/>
      <c r="J64" s="45"/>
      <c r="K64" s="45"/>
      <c r="L64" s="29">
        <f t="shared" si="6"/>
        <v>55750</v>
      </c>
      <c r="M64" s="29">
        <f>13323+23150.4</f>
        <v>36473.4</v>
      </c>
      <c r="N64" s="29">
        <f t="shared" si="3"/>
        <v>19276.599999999999</v>
      </c>
      <c r="O64" s="39">
        <f t="shared" ref="O64:O79" si="9">M64/$M$138</f>
        <v>6.6811427140124145E-3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>
        <v>1000</v>
      </c>
      <c r="I67" s="29"/>
      <c r="J67" s="45"/>
      <c r="K67" s="45"/>
      <c r="L67" s="29">
        <f t="shared" si="6"/>
        <v>55000</v>
      </c>
      <c r="M67" s="29">
        <f>4909.09+4909.09+4909.09+4909.09+4909.09+4909.09+4909.09+4909.09+4909.09+5026.09+4909.09</f>
        <v>54116.989999999991</v>
      </c>
      <c r="N67" s="29">
        <f t="shared" si="3"/>
        <v>883.01000000000931</v>
      </c>
      <c r="O67" s="39">
        <f t="shared" si="9"/>
        <v>9.9130690706866545E-3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>
        <v>1000</v>
      </c>
      <c r="I68" s="29"/>
      <c r="J68" s="45"/>
      <c r="K68" s="45"/>
      <c r="L68" s="29">
        <f t="shared" si="6"/>
        <v>55000</v>
      </c>
      <c r="M68" s="29">
        <f>4500+4500+4500+4500+4500+4500+4500+4500+4500+4500+4500+4500</f>
        <v>54000</v>
      </c>
      <c r="N68" s="29">
        <f t="shared" si="3"/>
        <v>1000</v>
      </c>
      <c r="O68" s="39">
        <f t="shared" si="9"/>
        <v>9.8916390179328052E-3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>
        <v>300</v>
      </c>
      <c r="N69" s="29">
        <f t="shared" si="3"/>
        <v>7200</v>
      </c>
      <c r="O69" s="39">
        <f t="shared" si="9"/>
        <v>5.4953550099626692E-5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>
        <v>10000</v>
      </c>
      <c r="I70" s="29"/>
      <c r="J70" s="45"/>
      <c r="K70" s="45"/>
      <c r="L70" s="29">
        <f t="shared" si="6"/>
        <v>34540</v>
      </c>
      <c r="M70" s="29">
        <f>650+840+14500</f>
        <v>15990</v>
      </c>
      <c r="N70" s="29">
        <f t="shared" si="3"/>
        <v>18550</v>
      </c>
      <c r="O70" s="39">
        <f t="shared" si="9"/>
        <v>2.9290242203101028E-3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75279.4+121070.11+58800+3000+172041.02+1000+112256.73+154342.21+500+42826.69</f>
        <v>741116.15999999992</v>
      </c>
      <c r="N71" s="29">
        <f t="shared" si="3"/>
        <v>122183.84000000008</v>
      </c>
      <c r="O71" s="39">
        <f t="shared" si="9"/>
        <v>0.1357565467606765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>
        <v>101000</v>
      </c>
      <c r="J73" s="45"/>
      <c r="K73" s="45"/>
      <c r="L73" s="29">
        <f>C73+D73-E73+F73-G73+H73+J73-I73-K73</f>
        <v>75000</v>
      </c>
      <c r="M73" s="29"/>
      <c r="N73" s="29">
        <f t="shared" si="3"/>
        <v>75000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>
        <v>4097.5</v>
      </c>
      <c r="N74" s="29">
        <f t="shared" si="3"/>
        <v>4152.5</v>
      </c>
      <c r="O74" s="39">
        <f t="shared" si="9"/>
        <v>7.5057390511073456E-4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50.36+100.33+202.82+281.23+50.36+132.24+50.36+127.03+50.35+206.46+70.35+291.98</f>
        <v>1613.87</v>
      </c>
      <c r="N75" s="29">
        <f t="shared" si="3"/>
        <v>886.13000000000011</v>
      </c>
      <c r="O75" s="39">
        <f t="shared" si="9"/>
        <v>2.9562628633094843E-4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30+230.2+363+17298.83+13683.72+929.7+295.3+18603.67</f>
        <v>51434.42</v>
      </c>
      <c r="N76" s="29">
        <f t="shared" si="3"/>
        <v>73565.58</v>
      </c>
      <c r="O76" s="39">
        <f t="shared" si="9"/>
        <v>9.4216799210508038E-3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>
        <v>50000</v>
      </c>
      <c r="J77" s="45"/>
      <c r="K77" s="45"/>
      <c r="L77" s="29">
        <f t="shared" ref="L77:L78" si="10">C77+D77-E77+F77-G77+H77+J77-I77-K77</f>
        <v>0</v>
      </c>
      <c r="M77" s="29"/>
      <c r="N77" s="29">
        <f t="shared" si="3"/>
        <v>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>
        <v>45000</v>
      </c>
      <c r="J78" s="45"/>
      <c r="K78" s="45"/>
      <c r="L78" s="29">
        <f t="shared" si="10"/>
        <v>1100</v>
      </c>
      <c r="M78" s="29"/>
      <c r="N78" s="29">
        <f t="shared" si="3"/>
        <v>1100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80+273+65.5+267.5+5785+14270.56+1200+250.59+1995.32+155.5+3346+8529.83</f>
        <v>36218.799999999996</v>
      </c>
      <c r="N79" s="29">
        <f t="shared" si="3"/>
        <v>14781.200000000004</v>
      </c>
      <c r="O79" s="39">
        <f t="shared" si="9"/>
        <v>6.634505467827863E-3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1">C83+D83-E83+F83-G83+H83+J83-K83</f>
        <v>148784.1</v>
      </c>
      <c r="M83" s="29">
        <f>782.3+3384.3+2972.3+3318.7+4227.6+2430+4032.65+3133.5+3556.35+2084.25+12973.25+3462.5</f>
        <v>46357.7</v>
      </c>
      <c r="N83" s="29">
        <f t="shared" si="3"/>
        <v>102426.40000000001</v>
      </c>
      <c r="O83" s="39">
        <f t="shared" ref="O83:O119" si="12">M83/$M$138</f>
        <v>8.4917339648448806E-3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1"/>
        <v>0</v>
      </c>
      <c r="M84" s="29"/>
      <c r="N84" s="29">
        <f t="shared" si="3"/>
        <v>0</v>
      </c>
      <c r="O84" s="39">
        <f t="shared" si="12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1"/>
        <v>0</v>
      </c>
      <c r="M85" s="29"/>
      <c r="N85" s="29">
        <f t="shared" si="3"/>
        <v>0</v>
      </c>
      <c r="O85" s="39">
        <f t="shared" si="12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1"/>
        <v>0</v>
      </c>
      <c r="M86" s="29"/>
      <c r="N86" s="29">
        <f t="shared" si="3"/>
        <v>0</v>
      </c>
      <c r="O86" s="39">
        <f t="shared" si="12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1"/>
        <v>5000</v>
      </c>
      <c r="M87" s="29">
        <f>100+25.9+200+170+43.99+270.79+1000+220</f>
        <v>2030.68</v>
      </c>
      <c r="N87" s="29">
        <f t="shared" si="3"/>
        <v>2969.3199999999997</v>
      </c>
      <c r="O87" s="39">
        <f t="shared" si="12"/>
        <v>3.7197691705436646E-4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1"/>
        <v>33800</v>
      </c>
      <c r="M88" s="29">
        <f>1260+720+1925+8881.6+4200+4625</f>
        <v>21611.599999999999</v>
      </c>
      <c r="N88" s="29">
        <f t="shared" si="3"/>
        <v>12188.400000000001</v>
      </c>
      <c r="O88" s="39">
        <f t="shared" si="12"/>
        <v>3.9587804777769737E-3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>
        <v>3000</v>
      </c>
      <c r="I89" s="29"/>
      <c r="J89" s="45"/>
      <c r="K89" s="45"/>
      <c r="L89" s="29">
        <f t="shared" ref="L89" si="13">C89+D89-E89+F89-G89+H89+J89-I89-K89</f>
        <v>8250</v>
      </c>
      <c r="M89" s="29">
        <f>506.3+361.55+365.5+576.56+8+434+795.7+502.8+462+485+510.95+4.5</f>
        <v>5012.8599999999997</v>
      </c>
      <c r="N89" s="29">
        <f t="shared" si="3"/>
        <v>3237.1400000000003</v>
      </c>
      <c r="O89" s="39">
        <f t="shared" si="12"/>
        <v>9.1824817717471542E-4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1"/>
        <v>10500</v>
      </c>
      <c r="M90" s="29">
        <f>941.5+113+924.25+970.84+257.6+1032.74+1683.54+92.4+1005.29+703.46+375.23+12.7</f>
        <v>8112.55</v>
      </c>
      <c r="N90" s="29">
        <f t="shared" si="3"/>
        <v>2387.4499999999998</v>
      </c>
      <c r="O90" s="39">
        <f t="shared" si="12"/>
        <v>1.4860447428690885E-3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>
        <v>1000</v>
      </c>
      <c r="I91" s="29"/>
      <c r="J91" s="45"/>
      <c r="K91" s="45"/>
      <c r="L91" s="29">
        <f t="shared" ref="L91" si="14">C91+D91-E91+F91-G91+H91+J91-I91-K91</f>
        <v>4050</v>
      </c>
      <c r="M91" s="29">
        <f>69.8+860.8+22.5+20.75+493.6+143.6+270+180+79.8</f>
        <v>2140.85</v>
      </c>
      <c r="N91" s="29">
        <f t="shared" si="3"/>
        <v>1909.15</v>
      </c>
      <c r="O91" s="39">
        <f t="shared" si="12"/>
        <v>3.9215769243595267E-4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1"/>
        <v>875</v>
      </c>
      <c r="M92" s="29"/>
      <c r="N92" s="29">
        <f t="shared" si="3"/>
        <v>875</v>
      </c>
      <c r="O92" s="39">
        <f t="shared" si="12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1"/>
        <v>5500</v>
      </c>
      <c r="M93" s="29">
        <v>2700</v>
      </c>
      <c r="N93" s="29">
        <f t="shared" si="3"/>
        <v>2800</v>
      </c>
      <c r="O93" s="39">
        <f t="shared" si="12"/>
        <v>4.945819508966402E-4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1"/>
        <v>2700</v>
      </c>
      <c r="M94" s="29">
        <f>550+360+90</f>
        <v>1000</v>
      </c>
      <c r="N94" s="29">
        <f t="shared" si="3"/>
        <v>1700</v>
      </c>
      <c r="O94" s="39">
        <f t="shared" si="12"/>
        <v>1.8317850033208898E-4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1"/>
        <v>2800</v>
      </c>
      <c r="M95" s="29">
        <f>469+547.99+29+335.95+69</f>
        <v>1450.94</v>
      </c>
      <c r="N95" s="29">
        <f t="shared" si="3"/>
        <v>1349.06</v>
      </c>
      <c r="O95" s="39">
        <f t="shared" si="12"/>
        <v>2.6578101327184118E-4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>
        <v>3000</v>
      </c>
      <c r="I96" s="29"/>
      <c r="J96" s="45"/>
      <c r="K96" s="45"/>
      <c r="L96" s="29">
        <f t="shared" si="11"/>
        <v>11500</v>
      </c>
      <c r="M96" s="29">
        <f>460+700+869+440+530.02+1265.41+705+1088+1121.04+710+900+550</f>
        <v>9338.4700000000012</v>
      </c>
      <c r="N96" s="29">
        <f t="shared" si="3"/>
        <v>2161.5299999999988</v>
      </c>
      <c r="O96" s="39">
        <f t="shared" si="12"/>
        <v>1.710606929996203E-3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1"/>
        <v>6000</v>
      </c>
      <c r="M97" s="29">
        <f>62.5+745+50+193.98+170+20+200</f>
        <v>1441.48</v>
      </c>
      <c r="N97" s="29">
        <f t="shared" si="3"/>
        <v>4558.5200000000004</v>
      </c>
      <c r="O97" s="39">
        <f t="shared" si="12"/>
        <v>2.6404814465869959E-4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>
        <v>2000</v>
      </c>
      <c r="I98" s="29"/>
      <c r="J98" s="45"/>
      <c r="K98" s="45"/>
      <c r="L98" s="29">
        <f t="shared" si="11"/>
        <v>19500</v>
      </c>
      <c r="M98" s="29">
        <f>750+1760+486+1480.13+4725.97+3759.32+1639+195</f>
        <v>14795.42</v>
      </c>
      <c r="N98" s="29">
        <f t="shared" si="3"/>
        <v>4704.58</v>
      </c>
      <c r="O98" s="39">
        <f t="shared" si="12"/>
        <v>2.7102028473833958E-3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>
        <v>15000</v>
      </c>
      <c r="I99" s="29"/>
      <c r="J99" s="45"/>
      <c r="K99" s="45"/>
      <c r="L99" s="29">
        <f t="shared" si="11"/>
        <v>18000</v>
      </c>
      <c r="M99" s="29">
        <f>198.75+81+243.4+6481.27+451.44+144.44+134.1+304.09+484.24+196.7+163.04</f>
        <v>8882.4700000000012</v>
      </c>
      <c r="N99" s="29">
        <f t="shared" si="3"/>
        <v>9117.5299999999988</v>
      </c>
      <c r="O99" s="39">
        <f t="shared" si="12"/>
        <v>1.6270775338447705E-3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>
        <v>2000</v>
      </c>
      <c r="I100" s="29"/>
      <c r="J100" s="45"/>
      <c r="K100" s="45"/>
      <c r="L100" s="29">
        <f t="shared" si="11"/>
        <v>3500</v>
      </c>
      <c r="M100" s="29">
        <f>139+605.62+27+893.78+246+79</f>
        <v>1990.4</v>
      </c>
      <c r="N100" s="29">
        <f t="shared" ref="N100:N137" si="15">L100-M100</f>
        <v>1509.6</v>
      </c>
      <c r="O100" s="39">
        <f t="shared" si="12"/>
        <v>3.645984870609899E-4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>
        <v>10000</v>
      </c>
      <c r="I101" s="29"/>
      <c r="J101" s="45"/>
      <c r="K101" s="45"/>
      <c r="L101" s="29">
        <f t="shared" si="11"/>
        <v>341653.07999999996</v>
      </c>
      <c r="M101" s="29">
        <f>69156.28+114221.15+150899.91</f>
        <v>334277.33999999997</v>
      </c>
      <c r="N101" s="29">
        <f t="shared" si="15"/>
        <v>7375.7399999999907</v>
      </c>
      <c r="O101" s="39">
        <f t="shared" si="12"/>
        <v>6.1232421836199813E-2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1"/>
        <v>0</v>
      </c>
      <c r="M102" s="29"/>
      <c r="N102" s="29">
        <f t="shared" si="15"/>
        <v>0</v>
      </c>
      <c r="O102" s="39">
        <f t="shared" si="12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1"/>
        <v>0</v>
      </c>
      <c r="M103" s="29"/>
      <c r="N103" s="29">
        <f t="shared" si="15"/>
        <v>0</v>
      </c>
      <c r="O103" s="39">
        <f t="shared" si="12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>
        <v>3000</v>
      </c>
      <c r="I104" s="29"/>
      <c r="J104" s="45"/>
      <c r="K104" s="45"/>
      <c r="L104" s="29">
        <f t="shared" si="11"/>
        <v>4500</v>
      </c>
      <c r="M104" s="29">
        <f>581+327.8</f>
        <v>908.8</v>
      </c>
      <c r="N104" s="29">
        <f t="shared" si="15"/>
        <v>3591.2</v>
      </c>
      <c r="O104" s="39">
        <f t="shared" si="12"/>
        <v>1.6647262110180245E-4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1"/>
        <v>0</v>
      </c>
      <c r="M105" s="29"/>
      <c r="N105" s="29">
        <f t="shared" si="15"/>
        <v>0</v>
      </c>
      <c r="O105" s="39">
        <f t="shared" si="12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>
        <v>15000</v>
      </c>
      <c r="I106" s="29"/>
      <c r="J106" s="45"/>
      <c r="K106" s="45"/>
      <c r="L106" s="29">
        <f t="shared" si="11"/>
        <v>15750</v>
      </c>
      <c r="M106" s="29">
        <f>12793.34+46.8</f>
        <v>12840.14</v>
      </c>
      <c r="N106" s="29">
        <f t="shared" si="15"/>
        <v>2909.8600000000006</v>
      </c>
      <c r="O106" s="39">
        <f t="shared" si="12"/>
        <v>2.3520375892540687E-3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1"/>
        <v>0</v>
      </c>
      <c r="M107" s="29"/>
      <c r="N107" s="29">
        <f t="shared" si="15"/>
        <v>0</v>
      </c>
      <c r="O107" s="39">
        <f t="shared" si="12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>
        <v>2000</v>
      </c>
      <c r="I108" s="29"/>
      <c r="J108" s="45"/>
      <c r="K108" s="45"/>
      <c r="L108" s="29">
        <f t="shared" si="11"/>
        <v>6800</v>
      </c>
      <c r="M108" s="29">
        <f>252.58+2571.75+376.13+473.5+167+173+25+714.3</f>
        <v>4753.26</v>
      </c>
      <c r="N108" s="29">
        <f t="shared" si="15"/>
        <v>2046.7399999999998</v>
      </c>
      <c r="O108" s="39">
        <f t="shared" si="12"/>
        <v>8.7069503848850524E-4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>
        <v>20000</v>
      </c>
      <c r="I109" s="29"/>
      <c r="J109" s="45"/>
      <c r="K109" s="45"/>
      <c r="L109" s="29">
        <f t="shared" si="11"/>
        <v>48800</v>
      </c>
      <c r="M109" s="29">
        <f>3725+6961.98+31274.47+521.3</f>
        <v>42482.75</v>
      </c>
      <c r="N109" s="29">
        <f t="shared" si="15"/>
        <v>6317.25</v>
      </c>
      <c r="O109" s="39">
        <f t="shared" si="12"/>
        <v>7.7819264349830528E-3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>
        <v>176000</v>
      </c>
      <c r="J110" s="45"/>
      <c r="K110" s="45"/>
      <c r="L110" s="29">
        <f>C110+D110-E110+F110-G110+H110+J110-I110-K110</f>
        <v>974000</v>
      </c>
      <c r="M110" s="29">
        <f>7000+7000</f>
        <v>14000</v>
      </c>
      <c r="N110" s="29">
        <f t="shared" si="15"/>
        <v>960000</v>
      </c>
      <c r="O110" s="39">
        <f t="shared" si="12"/>
        <v>2.5644990046492454E-3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>
        <v>2000</v>
      </c>
      <c r="I111" s="29"/>
      <c r="J111" s="45"/>
      <c r="K111" s="45"/>
      <c r="L111" s="29">
        <f t="shared" si="11"/>
        <v>3500</v>
      </c>
      <c r="M111" s="29">
        <f>98+23.07+136.8+564.86+293.72</f>
        <v>1116.45</v>
      </c>
      <c r="N111" s="29">
        <f t="shared" si="15"/>
        <v>2383.5500000000002</v>
      </c>
      <c r="O111" s="39">
        <f t="shared" si="12"/>
        <v>2.0450963669576075E-4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1"/>
        <v>0</v>
      </c>
      <c r="M112" s="29"/>
      <c r="N112" s="29">
        <f t="shared" si="15"/>
        <v>0</v>
      </c>
      <c r="O112" s="39">
        <f t="shared" si="12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1"/>
        <v>6600</v>
      </c>
      <c r="M113" s="29">
        <f>150.8+236.6+203.5+101.05+185.2+366.05+349+69.7+61.55+102.95</f>
        <v>1826.3999999999999</v>
      </c>
      <c r="N113" s="29">
        <f t="shared" si="15"/>
        <v>4773.6000000000004</v>
      </c>
      <c r="O113" s="39">
        <f t="shared" si="12"/>
        <v>3.3455721300652727E-4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1"/>
        <v>4000</v>
      </c>
      <c r="M114" s="29">
        <f>62.64+157.34+62.55+103.94+248.09+68.15+59.3+7.5</f>
        <v>769.51</v>
      </c>
      <c r="N114" s="29">
        <f t="shared" si="15"/>
        <v>3230.49</v>
      </c>
      <c r="O114" s="39">
        <f t="shared" si="12"/>
        <v>1.4095768779054578E-4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1"/>
        <v>25251.9</v>
      </c>
      <c r="M115" s="29">
        <f>4500+12091</f>
        <v>16591</v>
      </c>
      <c r="N115" s="29">
        <f t="shared" si="15"/>
        <v>8660.9000000000015</v>
      </c>
      <c r="O115" s="39">
        <f t="shared" si="12"/>
        <v>3.039114499009688E-3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1"/>
        <v>2000</v>
      </c>
      <c r="M116" s="29"/>
      <c r="N116" s="29">
        <f t="shared" si="15"/>
        <v>2000</v>
      </c>
      <c r="O116" s="39">
        <f t="shared" si="12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>
        <v>10000</v>
      </c>
      <c r="I117" s="29"/>
      <c r="J117" s="45"/>
      <c r="K117" s="45"/>
      <c r="L117" s="29">
        <f t="shared" si="11"/>
        <v>19500</v>
      </c>
      <c r="M117" s="29">
        <f>46+262+10940.08+4201.49-1512.51+1137.12+178+149.5+80+78</f>
        <v>15559.68</v>
      </c>
      <c r="N117" s="29">
        <f t="shared" si="15"/>
        <v>3940.3199999999997</v>
      </c>
      <c r="O117" s="39">
        <f t="shared" si="12"/>
        <v>2.850198848047198E-3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1"/>
        <v>76000</v>
      </c>
      <c r="M118" s="29">
        <f>101+3685.03+361.78</f>
        <v>4147.8100000000004</v>
      </c>
      <c r="N118" s="29">
        <f t="shared" si="15"/>
        <v>71852.19</v>
      </c>
      <c r="O118" s="39">
        <f t="shared" si="12"/>
        <v>7.5978961546244205E-4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>
        <v>15000</v>
      </c>
      <c r="I119" s="29"/>
      <c r="J119" s="45"/>
      <c r="K119" s="45"/>
      <c r="L119" s="29">
        <f t="shared" si="11"/>
        <v>24500</v>
      </c>
      <c r="M119" s="29">
        <f>287+760.6+2770.11+247.15+1712.08-0.01+1077.75+819.63+1026.12+502+520.55+1171.35+35.55</f>
        <v>10929.88</v>
      </c>
      <c r="N119" s="29">
        <f t="shared" si="15"/>
        <v>13570.12</v>
      </c>
      <c r="O119" s="39">
        <f t="shared" si="12"/>
        <v>2.0021190272096925E-3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29" si="16">C124+D124-E124+F124-G124+H124+J124-K124</f>
        <v>10000</v>
      </c>
      <c r="M124" s="29">
        <f>2700+1000+630</f>
        <v>4330</v>
      </c>
      <c r="N124" s="29">
        <f t="shared" si="15"/>
        <v>5670</v>
      </c>
      <c r="O124" s="39">
        <f>M124/$M$138</f>
        <v>7.9316290643794524E-4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6"/>
        <v>0</v>
      </c>
      <c r="M125" s="29"/>
      <c r="N125" s="29">
        <f t="shared" si="15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6"/>
        <v>304035</v>
      </c>
      <c r="M126" s="29"/>
      <c r="N126" s="29">
        <f t="shared" si="15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6"/>
        <v>1500</v>
      </c>
      <c r="M127" s="29"/>
      <c r="N127" s="29">
        <f t="shared" si="15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6"/>
        <v>40000</v>
      </c>
      <c r="M128" s="29">
        <v>14992</v>
      </c>
      <c r="N128" s="29">
        <f t="shared" si="15"/>
        <v>25008</v>
      </c>
      <c r="O128" s="39">
        <f>+M128/M138</f>
        <v>2.7462120769786778E-3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6"/>
        <v>14300</v>
      </c>
      <c r="M129" s="29">
        <v>6290</v>
      </c>
      <c r="N129" s="29">
        <f t="shared" si="15"/>
        <v>8010</v>
      </c>
      <c r="O129" s="39">
        <f>M129/$M$138</f>
        <v>1.1521927670888397E-3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ref="L130" si="17">C130+D130-E130+F130-G130+J130-K130</f>
        <v>0</v>
      </c>
      <c r="M130" s="29"/>
      <c r="N130" s="29">
        <f t="shared" si="15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ref="L134:L135" si="18">C134+D134-E134+F134-G134+H134+J134-K134</f>
        <v>185900</v>
      </c>
      <c r="M134" s="29">
        <v>51205.02</v>
      </c>
      <c r="N134" s="29">
        <f t="shared" si="15"/>
        <v>134694.98000000001</v>
      </c>
      <c r="O134" s="39">
        <f>M134/$M$138</f>
        <v>9.3796587730746225E-3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8"/>
        <v>7170</v>
      </c>
      <c r="M135" s="29">
        <v>2256</v>
      </c>
      <c r="N135" s="29">
        <f t="shared" si="15"/>
        <v>4914</v>
      </c>
      <c r="O135" s="39">
        <f>M135/$M$138</f>
        <v>4.1325069674919273E-4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>
        <v>45000</v>
      </c>
      <c r="I136" s="29"/>
      <c r="J136" s="45"/>
      <c r="K136" s="45"/>
      <c r="L136" s="29">
        <f>C136+D136-E136+F136-G136+H136+J136-K136</f>
        <v>115000</v>
      </c>
      <c r="M136" s="29">
        <f>750+1500+1500+1500+1500+1500+1500+56626.94+1000+20247.46+16053.93</f>
        <v>103678.32999999999</v>
      </c>
      <c r="N136" s="29">
        <f t="shared" si="15"/>
        <v>11321.670000000013</v>
      </c>
      <c r="O136" s="39">
        <f>M136/$M$138</f>
        <v>1.8991641006335429E-2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ref="L137" si="19">C137+D137-E137+F137-G137+H137+J137-K137</f>
        <v>8750</v>
      </c>
      <c r="M137" s="29">
        <f>3210.77+384.24</f>
        <v>3595.01</v>
      </c>
      <c r="N137" s="29">
        <f t="shared" si="15"/>
        <v>5154.99</v>
      </c>
      <c r="O137" s="39">
        <f>M137/$M$138</f>
        <v>6.5852854047886318E-4</v>
      </c>
    </row>
    <row r="138" spans="1:15" ht="18" customHeight="1" thickBot="1" x14ac:dyDescent="0.3">
      <c r="A138" s="33"/>
      <c r="B138" s="34" t="s">
        <v>92</v>
      </c>
      <c r="C138" s="35">
        <f t="shared" ref="C138:N138" si="20">SUM(C31:C137)</f>
        <v>7829870.540000001</v>
      </c>
      <c r="D138" s="35">
        <f t="shared" si="20"/>
        <v>428653.07999999996</v>
      </c>
      <c r="E138" s="35">
        <f t="shared" si="20"/>
        <v>0</v>
      </c>
      <c r="F138" s="35">
        <f t="shared" si="20"/>
        <v>992800</v>
      </c>
      <c r="G138" s="35">
        <f t="shared" si="20"/>
        <v>992800</v>
      </c>
      <c r="H138" s="35">
        <f t="shared" si="20"/>
        <v>731000</v>
      </c>
      <c r="I138" s="35">
        <f t="shared" si="20"/>
        <v>731000</v>
      </c>
      <c r="J138" s="65">
        <f t="shared" si="20"/>
        <v>0</v>
      </c>
      <c r="K138" s="65">
        <f t="shared" si="20"/>
        <v>0</v>
      </c>
      <c r="L138" s="35">
        <f>SUM(L31:L137)</f>
        <v>8258523.6200000001</v>
      </c>
      <c r="M138" s="35">
        <f>SUM(M31:M137)</f>
        <v>5459155.9499999974</v>
      </c>
      <c r="N138" s="35">
        <f t="shared" si="20"/>
        <v>2799367.67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5934934.3299999991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-5459155.9499999974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2512415.200000002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0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ht="12" customHeight="1" x14ac:dyDescent="0.2">
      <c r="A157" s="55" t="s">
        <v>269</v>
      </c>
      <c r="B157" s="53"/>
      <c r="C157" s="70">
        <v>4618.47</v>
      </c>
      <c r="D157" s="4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152</v>
      </c>
      <c r="B158" s="53"/>
      <c r="C158" s="70">
        <f>3043.93+6724.36+630.21</f>
        <v>10398.5</v>
      </c>
      <c r="D158" s="80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151</v>
      </c>
      <c r="B159" s="53"/>
      <c r="C159" s="70">
        <f>2109.64-0.01</f>
        <v>2109.6299999999997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150</v>
      </c>
      <c r="B160" s="53"/>
      <c r="C160" s="70">
        <v>5021.42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270</v>
      </c>
      <c r="B161" s="53"/>
      <c r="C161" s="70">
        <v>-15</v>
      </c>
      <c r="D161" s="81"/>
      <c r="E161" s="4"/>
      <c r="F161" s="4"/>
      <c r="G161" s="4"/>
      <c r="H161" s="4"/>
      <c r="I161" s="4"/>
      <c r="J161" s="67"/>
      <c r="K161" s="67"/>
      <c r="L161" s="4"/>
    </row>
    <row r="162" spans="1:13" x14ac:dyDescent="0.2">
      <c r="A162" s="55" t="s">
        <v>279</v>
      </c>
      <c r="B162" s="53"/>
      <c r="C162" s="70">
        <v>0</v>
      </c>
      <c r="D162" s="81"/>
      <c r="E162" s="4"/>
      <c r="F162" s="4"/>
      <c r="G162" s="4"/>
      <c r="H162" s="4"/>
      <c r="I162" s="4"/>
      <c r="J162" s="67"/>
      <c r="K162" s="67"/>
      <c r="L162" s="4"/>
    </row>
    <row r="163" spans="1:13" x14ac:dyDescent="0.2">
      <c r="A163" s="55" t="s">
        <v>268</v>
      </c>
      <c r="B163" s="53"/>
      <c r="C163" s="70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1"/>
      <c r="D164" s="82"/>
      <c r="E164" s="83"/>
      <c r="F164" s="4"/>
      <c r="G164" s="4"/>
      <c r="H164" s="4"/>
      <c r="I164" s="4"/>
      <c r="J164" s="67"/>
      <c r="K164" s="67"/>
      <c r="L164" s="4"/>
    </row>
    <row r="165" spans="1:13" ht="15.75" x14ac:dyDescent="0.25">
      <c r="A165" s="56"/>
      <c r="B165" s="57"/>
      <c r="C165" s="72">
        <f>SUM(C155:C164)</f>
        <v>22183.020000000004</v>
      </c>
      <c r="D165" s="82"/>
      <c r="E165" s="83"/>
      <c r="F165" s="4"/>
      <c r="G165" s="4"/>
      <c r="H165" s="4"/>
      <c r="I165" s="4"/>
      <c r="J165" s="67"/>
      <c r="K165" s="67"/>
      <c r="L165" s="4"/>
    </row>
    <row r="166" spans="1:13" ht="2.1" customHeight="1" x14ac:dyDescent="0.25">
      <c r="A166" s="56"/>
      <c r="B166" s="57"/>
      <c r="C166" s="73"/>
      <c r="D166" s="81"/>
      <c r="E166" s="4"/>
      <c r="F166" s="4"/>
      <c r="G166" s="4"/>
      <c r="H166" s="4"/>
      <c r="I166" s="4"/>
      <c r="J166" s="67"/>
      <c r="K166" s="67"/>
      <c r="L166" s="4"/>
    </row>
    <row r="167" spans="1:13" x14ac:dyDescent="0.2">
      <c r="A167" s="55"/>
      <c r="B167" s="53"/>
      <c r="C167" s="70"/>
      <c r="D167" s="81"/>
      <c r="E167" s="4"/>
      <c r="F167" s="4"/>
      <c r="G167" s="4"/>
      <c r="H167" s="4"/>
      <c r="I167" s="4"/>
      <c r="J167" s="67"/>
      <c r="K167" s="67"/>
      <c r="L167" s="4"/>
    </row>
    <row r="168" spans="1:13" ht="2.1" customHeight="1" thickBot="1" x14ac:dyDescent="0.3">
      <c r="A168" s="58" t="s">
        <v>244</v>
      </c>
      <c r="B168" s="59"/>
      <c r="C168" s="69">
        <f>C152+C165</f>
        <v>2534598.2200000021</v>
      </c>
      <c r="D168" s="80"/>
      <c r="E168" s="4"/>
      <c r="F168" s="4"/>
      <c r="G168" s="4"/>
      <c r="H168" s="4"/>
      <c r="I168" s="4"/>
      <c r="J168" s="67"/>
      <c r="K168" s="67"/>
      <c r="L168" s="4"/>
    </row>
    <row r="169" spans="1:13" ht="9.9499999999999993" customHeight="1" x14ac:dyDescent="0.2">
      <c r="A169" s="55"/>
      <c r="B169" s="53"/>
      <c r="C169" s="70"/>
      <c r="D169" s="80"/>
      <c r="E169" s="4"/>
      <c r="F169" s="4"/>
      <c r="G169" s="4"/>
      <c r="H169" s="4"/>
      <c r="I169" s="4"/>
      <c r="J169" s="67"/>
      <c r="K169" s="67"/>
      <c r="L169" s="4"/>
    </row>
    <row r="170" spans="1:13" ht="16.5" thickBot="1" x14ac:dyDescent="0.3">
      <c r="A170" s="58" t="s">
        <v>284</v>
      </c>
      <c r="B170" s="59"/>
      <c r="C170" s="69">
        <f>C152+C165</f>
        <v>2534598.2200000021</v>
      </c>
      <c r="D170" s="82"/>
      <c r="E170" s="4"/>
      <c r="F170" s="4"/>
      <c r="G170" s="4"/>
      <c r="H170" s="4"/>
      <c r="I170" s="4"/>
      <c r="J170" s="67"/>
      <c r="K170" s="67"/>
      <c r="L170" s="4"/>
      <c r="M170" s="4"/>
    </row>
    <row r="171" spans="1:13" x14ac:dyDescent="0.2">
      <c r="A171" s="53"/>
      <c r="C171" s="4"/>
      <c r="D171" s="4"/>
      <c r="E171" s="4"/>
      <c r="F171" s="4"/>
      <c r="G171" s="4"/>
      <c r="H171" s="4"/>
      <c r="I171" s="4"/>
      <c r="J171" s="67"/>
      <c r="K171" s="67"/>
      <c r="L171" s="4"/>
    </row>
    <row r="172" spans="1:13" x14ac:dyDescent="0.2">
      <c r="C172" s="4"/>
      <c r="D172" s="4"/>
      <c r="E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67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C182" s="13" t="s">
        <v>231</v>
      </c>
      <c r="G182" s="11" t="s">
        <v>264</v>
      </c>
      <c r="J182" s="13" t="s">
        <v>240</v>
      </c>
      <c r="K182" s="75"/>
    </row>
    <row r="183" spans="2:12" x14ac:dyDescent="0.2">
      <c r="B183" s="11" t="s">
        <v>90</v>
      </c>
      <c r="C183" s="13" t="s">
        <v>91</v>
      </c>
      <c r="G183" s="11" t="s">
        <v>265</v>
      </c>
      <c r="J183" s="11" t="s">
        <v>249</v>
      </c>
    </row>
    <row r="187" spans="2:12" x14ac:dyDescent="0.2">
      <c r="I187" s="4"/>
      <c r="K187" s="67"/>
      <c r="L187" s="4"/>
    </row>
    <row r="188" spans="2:12" x14ac:dyDescent="0.2">
      <c r="I188" s="4"/>
      <c r="K188" s="67"/>
      <c r="L188" s="4"/>
    </row>
    <row r="189" spans="2:12" x14ac:dyDescent="0.2">
      <c r="G189" s="60"/>
      <c r="I189" s="60"/>
      <c r="K189" s="68"/>
      <c r="L189" s="4"/>
    </row>
    <row r="190" spans="2:12" x14ac:dyDescent="0.2">
      <c r="G190" s="60"/>
      <c r="I190" s="60"/>
      <c r="K190" s="68"/>
      <c r="L190" s="4"/>
    </row>
    <row r="191" spans="2:12" x14ac:dyDescent="0.2">
      <c r="G191" s="60"/>
      <c r="L191" s="4"/>
    </row>
    <row r="192" spans="2:12" x14ac:dyDescent="0.2">
      <c r="G192" s="60"/>
    </row>
    <row r="193" spans="7:12" x14ac:dyDescent="0.2">
      <c r="G193" s="60"/>
    </row>
    <row r="194" spans="7:12" x14ac:dyDescent="0.2">
      <c r="G194" s="60"/>
      <c r="L194" s="4"/>
    </row>
    <row r="195" spans="7:12" x14ac:dyDescent="0.2">
      <c r="G195" s="60"/>
    </row>
    <row r="196" spans="7:12" x14ac:dyDescent="0.2">
      <c r="G196" s="60"/>
    </row>
    <row r="197" spans="7:12" x14ac:dyDescent="0.2">
      <c r="G197" s="60"/>
    </row>
    <row r="198" spans="7:12" x14ac:dyDescent="0.2">
      <c r="G198" s="60"/>
    </row>
    <row r="199" spans="7:12" x14ac:dyDescent="0.2">
      <c r="G199" s="60"/>
    </row>
    <row r="200" spans="7:12" x14ac:dyDescent="0.2">
      <c r="G200" s="60"/>
    </row>
    <row r="201" spans="7:12" x14ac:dyDescent="0.2">
      <c r="G201" s="60"/>
    </row>
    <row r="202" spans="7:12" x14ac:dyDescent="0.2">
      <c r="G202" s="60"/>
    </row>
    <row r="203" spans="7:12" x14ac:dyDescent="0.2">
      <c r="G203" s="60"/>
    </row>
    <row r="204" spans="7:12" x14ac:dyDescent="0.2">
      <c r="G204" s="60"/>
    </row>
    <row r="205" spans="7:12" x14ac:dyDescent="0.2">
      <c r="G205" s="60"/>
    </row>
    <row r="206" spans="7:12" x14ac:dyDescent="0.2">
      <c r="G206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5" orientation="landscape" horizontalDpi="360" verticalDpi="360" r:id="rId1"/>
  <rowBreaks count="2" manualBreakCount="2">
    <brk id="55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3"/>
  <sheetViews>
    <sheetView topLeftCell="B147" zoomScaleNormal="100" workbookViewId="0">
      <selection activeCell="C161" sqref="C161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257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6</v>
      </c>
      <c r="E6" s="19"/>
      <c r="F6" s="18" t="s">
        <v>7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</f>
        <v>21800</v>
      </c>
      <c r="N10" s="29">
        <f t="shared" ref="N10:N22" si="1">L10-M10</f>
        <v>15200</v>
      </c>
      <c r="O10" s="28">
        <f>M10/$M$26</f>
        <v>4.1376421194657995E-2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>
        <v>3395</v>
      </c>
      <c r="N12" s="29">
        <f t="shared" si="1"/>
        <v>27105</v>
      </c>
      <c r="O12" s="28">
        <f>M12/$M$26</f>
        <v>6.4437133007277016E-3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f>1190.19+1066.17</f>
        <v>2256.36</v>
      </c>
      <c r="N15" s="29">
        <f t="shared" si="1"/>
        <v>6543.6399999999994</v>
      </c>
      <c r="O15" s="28">
        <f>M15/$M$26</f>
        <v>4.2825734737054364E-3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/>
      <c r="E18" s="29"/>
      <c r="F18" s="29"/>
      <c r="G18" s="29"/>
      <c r="H18" s="29"/>
      <c r="I18" s="29"/>
      <c r="J18" s="45"/>
      <c r="K18" s="45"/>
      <c r="L18" s="29">
        <f t="shared" si="0"/>
        <v>3241296.44</v>
      </c>
      <c r="M18" s="29">
        <f>249709.38+249709.38</f>
        <v>499418.76</v>
      </c>
      <c r="N18" s="29">
        <f t="shared" si="1"/>
        <v>2741877.6799999997</v>
      </c>
      <c r="O18" s="28">
        <f>M18/$M$26</f>
        <v>0.94789729203090889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/>
      <c r="N20" s="29">
        <f t="shared" si="1"/>
        <v>2685493.4</v>
      </c>
      <c r="O20" s="28">
        <f>M20/$M$26</f>
        <v>0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/>
      <c r="N22" s="29">
        <f t="shared" si="1"/>
        <v>50000</v>
      </c>
      <c r="O22" s="28">
        <f>M22/$M$26</f>
        <v>0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0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7829870.54</v>
      </c>
      <c r="M26" s="35">
        <f>SUM(M10:M25)</f>
        <v>526870.12</v>
      </c>
      <c r="N26" s="35">
        <f t="shared" si="2"/>
        <v>7303000.4199999999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f>62454.4+62454.4</f>
        <v>124908.8</v>
      </c>
      <c r="N31" s="29">
        <f t="shared" ref="N31:N99" si="3">L31-M31</f>
        <v>689663.24</v>
      </c>
      <c r="O31" s="39">
        <f>M31/$M$138</f>
        <v>0.3553549195052636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f>1125+1125</f>
        <v>2250</v>
      </c>
      <c r="N32" s="29">
        <f t="shared" si="3"/>
        <v>11450</v>
      </c>
      <c r="O32" s="39">
        <f>M32/$M$138</f>
        <v>6.4010587635686443E-3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f>22349+22349</f>
        <v>44698</v>
      </c>
      <c r="N33" s="29">
        <f t="shared" si="3"/>
        <v>266402</v>
      </c>
      <c r="O33" s="39">
        <f>M33/$M$138</f>
        <v>0.12716201093955168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/>
      <c r="H34" s="29"/>
      <c r="I34" s="29"/>
      <c r="J34" s="45"/>
      <c r="K34" s="45"/>
      <c r="L34" s="29">
        <f t="shared" si="4"/>
        <v>646800</v>
      </c>
      <c r="M34" s="29">
        <v>17142.84</v>
      </c>
      <c r="N34" s="29">
        <f t="shared" si="3"/>
        <v>629657.16</v>
      </c>
      <c r="O34" s="39">
        <f>M34/$M$138</f>
        <v>4.8769922761980049E-2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v>3985.95</v>
      </c>
      <c r="N36" s="29">
        <f t="shared" si="3"/>
        <v>30524.850000000002</v>
      </c>
      <c r="O36" s="39">
        <f t="shared" si="5"/>
        <v>1.1339688968287307E-2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</f>
        <v>13753.07</v>
      </c>
      <c r="N37" s="29">
        <f t="shared" si="3"/>
        <v>73648.079999999987</v>
      </c>
      <c r="O37" s="39">
        <f t="shared" si="5"/>
        <v>3.9126315221988006E-2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</f>
        <v>1288.94</v>
      </c>
      <c r="N38" s="29">
        <f t="shared" si="3"/>
        <v>6901.9</v>
      </c>
      <c r="O38" s="39">
        <f t="shared" si="5"/>
        <v>3.6669247478729643E-3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/>
      <c r="N39" s="29">
        <f t="shared" si="3"/>
        <v>67581.009999999995</v>
      </c>
      <c r="O39" s="39">
        <f t="shared" si="5"/>
        <v>0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/>
      <c r="N40" s="29">
        <f t="shared" si="3"/>
        <v>67581.009999999995</v>
      </c>
      <c r="O40" s="39">
        <f t="shared" si="5"/>
        <v>0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/>
      <c r="N41" s="29">
        <f t="shared" si="3"/>
        <v>4400</v>
      </c>
      <c r="O41" s="39">
        <f t="shared" si="5"/>
        <v>0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f>465.85+1911.83</f>
        <v>2377.6799999999998</v>
      </c>
      <c r="N45" s="29">
        <f t="shared" si="3"/>
        <v>11372.32</v>
      </c>
      <c r="O45" s="39">
        <f t="shared" ref="O45:O54" si="7">M45/$M$138</f>
        <v>6.7642975115386195E-3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</f>
        <v>5317.5300000000007</v>
      </c>
      <c r="N46" s="29">
        <f t="shared" si="3"/>
        <v>20782.47</v>
      </c>
      <c r="O46" s="39">
        <f t="shared" si="7"/>
        <v>1.5127920892017413E-2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5.8036266123022377E-3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f>15+2240</f>
        <v>2255</v>
      </c>
      <c r="N49" s="29">
        <f t="shared" si="3"/>
        <v>11995</v>
      </c>
      <c r="O49" s="39">
        <f t="shared" si="7"/>
        <v>6.4152833385987974E-3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/>
      <c r="N50" s="29">
        <f t="shared" si="3"/>
        <v>673088.47</v>
      </c>
      <c r="O50" s="39">
        <f t="shared" si="7"/>
        <v>0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/>
      <c r="N51" s="29">
        <f t="shared" si="3"/>
        <v>563742.69999999995</v>
      </c>
      <c r="O51" s="39">
        <f t="shared" si="7"/>
        <v>0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/>
      <c r="H52" s="29"/>
      <c r="I52" s="29"/>
      <c r="J52" s="45"/>
      <c r="K52" s="45"/>
      <c r="L52" s="29">
        <f t="shared" si="6"/>
        <v>600985.37</v>
      </c>
      <c r="M52" s="29">
        <v>10463.32</v>
      </c>
      <c r="N52" s="29">
        <f t="shared" si="3"/>
        <v>590522.05000000005</v>
      </c>
      <c r="O52" s="39">
        <f t="shared" si="7"/>
        <v>2.9767256080899144E-2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/>
      <c r="N53" s="29">
        <f t="shared" si="3"/>
        <v>225000</v>
      </c>
      <c r="O53" s="39">
        <f t="shared" si="7"/>
        <v>0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/>
      <c r="N54" s="29">
        <f t="shared" si="3"/>
        <v>75000</v>
      </c>
      <c r="O54" s="39">
        <f t="shared" si="7"/>
        <v>0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>
        <v>15000</v>
      </c>
      <c r="N55" s="29">
        <f t="shared" si="3"/>
        <v>75000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/>
      <c r="N56" s="29">
        <f t="shared" si="3"/>
        <v>4400</v>
      </c>
      <c r="O56" s="39">
        <f t="shared" ref="O56:O61" si="8">M56/$M$138</f>
        <v>0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/>
      <c r="N58" s="29">
        <f t="shared" si="3"/>
        <v>7750</v>
      </c>
      <c r="O58" s="39">
        <f t="shared" si="8"/>
        <v>0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v>170.04</v>
      </c>
      <c r="N59" s="29">
        <f t="shared" si="3"/>
        <v>6829.96</v>
      </c>
      <c r="O59" s="39">
        <f t="shared" si="8"/>
        <v>4.8374934762542769E-4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v>150</v>
      </c>
      <c r="N60" s="29">
        <f t="shared" si="3"/>
        <v>13850</v>
      </c>
      <c r="O60" s="39">
        <f t="shared" si="8"/>
        <v>4.2673725090457631E-4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/>
      <c r="E63" s="29"/>
      <c r="F63" s="45"/>
      <c r="G63" s="45"/>
      <c r="H63" s="29"/>
      <c r="I63" s="29"/>
      <c r="J63" s="45"/>
      <c r="K63" s="45"/>
      <c r="L63" s="29">
        <f t="shared" si="6"/>
        <v>10000</v>
      </c>
      <c r="M63" s="29"/>
      <c r="N63" s="29">
        <f t="shared" si="3"/>
        <v>10000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/>
      <c r="E64" s="29"/>
      <c r="F64" s="45"/>
      <c r="G64" s="45"/>
      <c r="H64" s="29"/>
      <c r="I64" s="29"/>
      <c r="J64" s="45"/>
      <c r="K64" s="45"/>
      <c r="L64" s="29">
        <f t="shared" si="6"/>
        <v>15750</v>
      </c>
      <c r="M64" s="29"/>
      <c r="N64" s="29">
        <f t="shared" si="3"/>
        <v>15750</v>
      </c>
      <c r="O64" s="39">
        <f t="shared" ref="O64:O79" si="9">M64/$M$138</f>
        <v>0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>
        <v>4909.09</v>
      </c>
      <c r="N67" s="29">
        <f t="shared" si="3"/>
        <v>49090.91</v>
      </c>
      <c r="O67" s="39">
        <f t="shared" si="9"/>
        <v>1.396594380695431E-2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f>4500+4500</f>
        <v>9000</v>
      </c>
      <c r="N68" s="29">
        <f t="shared" si="3"/>
        <v>45000</v>
      </c>
      <c r="O68" s="39">
        <f t="shared" si="9"/>
        <v>2.5604235054274577E-2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/>
      <c r="N69" s="29">
        <f t="shared" si="3"/>
        <v>7500</v>
      </c>
      <c r="O69" s="39">
        <f t="shared" si="9"/>
        <v>0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v>650</v>
      </c>
      <c r="N70" s="29">
        <f t="shared" si="3"/>
        <v>23890</v>
      </c>
      <c r="O70" s="39">
        <f t="shared" si="9"/>
        <v>1.8491947539198306E-3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/>
      <c r="G71" s="45"/>
      <c r="H71" s="29"/>
      <c r="I71" s="29"/>
      <c r="J71" s="45"/>
      <c r="K71" s="45"/>
      <c r="L71" s="29">
        <f t="shared" si="6"/>
        <v>20500</v>
      </c>
      <c r="M71" s="29">
        <v>75279.399999999994</v>
      </c>
      <c r="N71" s="29">
        <f t="shared" si="3"/>
        <v>-54779.399999999994</v>
      </c>
      <c r="O71" s="39">
        <f t="shared" si="9"/>
        <v>0.21416349470497306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/>
      <c r="H73" s="29"/>
      <c r="I73" s="29"/>
      <c r="J73" s="45"/>
      <c r="K73" s="45"/>
      <c r="L73" s="29">
        <f t="shared" si="6"/>
        <v>576000</v>
      </c>
      <c r="M73" s="29"/>
      <c r="N73" s="29">
        <f t="shared" si="3"/>
        <v>576000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/>
      <c r="N74" s="29">
        <f t="shared" si="3"/>
        <v>8250</v>
      </c>
      <c r="O74" s="39">
        <f t="shared" si="9"/>
        <v>0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</f>
        <v>150.69</v>
      </c>
      <c r="N75" s="29">
        <f t="shared" si="3"/>
        <v>2349.31</v>
      </c>
      <c r="O75" s="39">
        <f t="shared" si="9"/>
        <v>4.2870024225873733E-4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/>
      <c r="E76" s="29"/>
      <c r="F76" s="45"/>
      <c r="G76" s="45"/>
      <c r="H76" s="29"/>
      <c r="I76" s="29"/>
      <c r="J76" s="45"/>
      <c r="K76" s="45"/>
      <c r="L76" s="29">
        <f t="shared" si="6"/>
        <v>50000</v>
      </c>
      <c r="M76" s="29">
        <f>30+230.2</f>
        <v>260.2</v>
      </c>
      <c r="N76" s="29">
        <f t="shared" si="3"/>
        <v>49739.8</v>
      </c>
      <c r="O76" s="39">
        <f t="shared" si="9"/>
        <v>7.4024688456913838E-4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</f>
        <v>353</v>
      </c>
      <c r="N79" s="29">
        <f t="shared" si="3"/>
        <v>50647</v>
      </c>
      <c r="O79" s="39">
        <f t="shared" si="9"/>
        <v>1.0042549971287695E-3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/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146784.1</v>
      </c>
      <c r="M83" s="29">
        <f>782.3+3384.3</f>
        <v>4166.6000000000004</v>
      </c>
      <c r="N83" s="29">
        <f t="shared" si="3"/>
        <v>142617.5</v>
      </c>
      <c r="O83" s="39">
        <f t="shared" ref="O83:O119" si="11">M83/$M$138</f>
        <v>1.1853622864126719E-2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/>
      <c r="N87" s="29">
        <f t="shared" si="3"/>
        <v>5000</v>
      </c>
      <c r="O87" s="39">
        <f t="shared" si="11"/>
        <v>0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/>
      <c r="N88" s="29">
        <f t="shared" si="3"/>
        <v>33800</v>
      </c>
      <c r="O88" s="39">
        <f t="shared" si="11"/>
        <v>0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f>506.3+361.55</f>
        <v>867.85</v>
      </c>
      <c r="N89" s="29">
        <f t="shared" si="3"/>
        <v>4382.1499999999996</v>
      </c>
      <c r="O89" s="39">
        <f t="shared" si="11"/>
        <v>2.4689594879835769E-3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f>941.5+113</f>
        <v>1054.5</v>
      </c>
      <c r="N90" s="29">
        <f t="shared" si="3"/>
        <v>9445.5</v>
      </c>
      <c r="O90" s="39">
        <f t="shared" si="11"/>
        <v>2.9999628738591713E-3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f>69.8+860.8</f>
        <v>930.59999999999991</v>
      </c>
      <c r="N91" s="29">
        <f t="shared" si="3"/>
        <v>2119.4</v>
      </c>
      <c r="O91" s="39">
        <f t="shared" si="11"/>
        <v>2.6474779046119913E-3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/>
      <c r="N93" s="29">
        <f t="shared" si="3"/>
        <v>5500</v>
      </c>
      <c r="O93" s="39">
        <f t="shared" si="11"/>
        <v>0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/>
      <c r="N94" s="29">
        <f t="shared" si="3"/>
        <v>2700</v>
      </c>
      <c r="O94" s="39">
        <f t="shared" si="11"/>
        <v>0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/>
      <c r="N95" s="29">
        <f t="shared" si="3"/>
        <v>2800</v>
      </c>
      <c r="O95" s="39">
        <f t="shared" si="11"/>
        <v>0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f>460+700</f>
        <v>1160</v>
      </c>
      <c r="N96" s="29">
        <f t="shared" si="3"/>
        <v>7340</v>
      </c>
      <c r="O96" s="39">
        <f t="shared" si="11"/>
        <v>3.3001014069953902E-3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>
        <v>62.5</v>
      </c>
      <c r="N97" s="29">
        <f t="shared" si="3"/>
        <v>5937.5</v>
      </c>
      <c r="O97" s="39">
        <f t="shared" si="11"/>
        <v>1.7780718787690681E-4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f>750+1760</f>
        <v>2510</v>
      </c>
      <c r="N98" s="29">
        <f t="shared" si="3"/>
        <v>14990</v>
      </c>
      <c r="O98" s="39">
        <f t="shared" si="11"/>
        <v>7.1407366651365769E-3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f>198.75+81</f>
        <v>279.75</v>
      </c>
      <c r="N99" s="29">
        <f t="shared" si="3"/>
        <v>2720.25</v>
      </c>
      <c r="O99" s="39">
        <f t="shared" si="11"/>
        <v>7.9586497293703483E-4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v>139</v>
      </c>
      <c r="N100" s="29">
        <f t="shared" ref="N100:N137" si="12">L100-M100</f>
        <v>1361</v>
      </c>
      <c r="O100" s="39">
        <f t="shared" si="11"/>
        <v>3.9544318583824073E-4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/>
      <c r="E101" s="29"/>
      <c r="F101" s="45"/>
      <c r="G101" s="45"/>
      <c r="H101" s="29"/>
      <c r="I101" s="29"/>
      <c r="J101" s="45"/>
      <c r="K101" s="45"/>
      <c r="L101" s="29">
        <f t="shared" si="10"/>
        <v>200000</v>
      </c>
      <c r="M101" s="29"/>
      <c r="N101" s="29">
        <f t="shared" si="12"/>
        <v>200000</v>
      </c>
      <c r="O101" s="39">
        <f t="shared" si="11"/>
        <v>0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/>
      <c r="N104" s="29">
        <f t="shared" si="12"/>
        <v>1500</v>
      </c>
      <c r="O104" s="39">
        <f t="shared" si="11"/>
        <v>0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/>
      <c r="N106" s="29">
        <f t="shared" si="12"/>
        <v>750</v>
      </c>
      <c r="O106" s="39">
        <f t="shared" si="11"/>
        <v>0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/>
      <c r="N108" s="29">
        <f t="shared" si="12"/>
        <v>4800</v>
      </c>
      <c r="O108" s="39">
        <f t="shared" si="11"/>
        <v>0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/>
      <c r="N109" s="29">
        <f t="shared" si="12"/>
        <v>28800</v>
      </c>
      <c r="O109" s="39">
        <f t="shared" si="11"/>
        <v>0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/>
      <c r="E110" s="29"/>
      <c r="F110" s="45"/>
      <c r="G110" s="45"/>
      <c r="H110" s="29"/>
      <c r="I110" s="29"/>
      <c r="J110" s="45"/>
      <c r="K110" s="45"/>
      <c r="L110" s="29">
        <f t="shared" si="10"/>
        <v>900000</v>
      </c>
      <c r="M110" s="29"/>
      <c r="N110" s="29">
        <f t="shared" si="12"/>
        <v>900000</v>
      </c>
      <c r="O110" s="39">
        <f t="shared" si="11"/>
        <v>0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v>98</v>
      </c>
      <c r="N111" s="29">
        <f t="shared" si="12"/>
        <v>1402</v>
      </c>
      <c r="O111" s="39">
        <f t="shared" si="11"/>
        <v>2.7880167059098987E-4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f>150.8+236.6</f>
        <v>387.4</v>
      </c>
      <c r="N113" s="29">
        <f t="shared" si="12"/>
        <v>6212.6</v>
      </c>
      <c r="O113" s="39">
        <f t="shared" si="11"/>
        <v>1.1021200733362191E-3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/>
      <c r="N114" s="29">
        <f t="shared" si="12"/>
        <v>4000</v>
      </c>
      <c r="O114" s="39">
        <f t="shared" si="11"/>
        <v>0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/>
      <c r="N115" s="29">
        <f t="shared" si="12"/>
        <v>25251.9</v>
      </c>
      <c r="O115" s="39">
        <f t="shared" si="11"/>
        <v>0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>
        <v>46</v>
      </c>
      <c r="N117" s="29">
        <f t="shared" si="12"/>
        <v>9454</v>
      </c>
      <c r="O117" s="39">
        <f t="shared" si="11"/>
        <v>1.3086609027740341E-4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>
        <v>101</v>
      </c>
      <c r="N118" s="29">
        <f t="shared" si="12"/>
        <v>75899</v>
      </c>
      <c r="O118" s="39">
        <f t="shared" si="11"/>
        <v>2.873364156090814E-4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f>287+760.6</f>
        <v>1047.5999999999999</v>
      </c>
      <c r="N119" s="29">
        <f t="shared" si="12"/>
        <v>8452.4</v>
      </c>
      <c r="O119" s="39">
        <f t="shared" si="11"/>
        <v>2.9803329603175607E-3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/>
      <c r="N124" s="29">
        <f t="shared" si="12"/>
        <v>10000</v>
      </c>
      <c r="O124" s="39">
        <f>M124/$M$138</f>
        <v>0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/>
      <c r="N128" s="29">
        <f t="shared" si="12"/>
        <v>40000</v>
      </c>
      <c r="O128" s="39">
        <f>+M128/M138</f>
        <v>0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/>
      <c r="N129" s="29">
        <f t="shared" si="12"/>
        <v>14300</v>
      </c>
      <c r="O129" s="39">
        <f>M129/$M$138</f>
        <v>0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/>
      <c r="N134" s="29">
        <f t="shared" si="12"/>
        <v>185900</v>
      </c>
      <c r="O134" s="39">
        <f>M134/$M$138</f>
        <v>0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/>
      <c r="N135" s="29">
        <f t="shared" si="12"/>
        <v>7170</v>
      </c>
      <c r="O135" s="39">
        <f>M135/$M$138</f>
        <v>0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f>750+1500</f>
        <v>2250</v>
      </c>
      <c r="N136" s="29">
        <f t="shared" si="12"/>
        <v>67750</v>
      </c>
      <c r="O136" s="39">
        <f>M136/$M$138</f>
        <v>6.4010587635686443E-3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/>
      <c r="N137" s="29">
        <f t="shared" si="12"/>
        <v>8750</v>
      </c>
      <c r="O137" s="39">
        <f>M137/$M$138</f>
        <v>0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0</v>
      </c>
      <c r="E138" s="35">
        <f t="shared" si="14"/>
        <v>0</v>
      </c>
      <c r="F138" s="35">
        <f t="shared" si="14"/>
        <v>0</v>
      </c>
      <c r="G138" s="35">
        <f t="shared" si="14"/>
        <v>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 t="shared" si="14"/>
        <v>7829870.540000001</v>
      </c>
      <c r="M138" s="35">
        <f t="shared" si="14"/>
        <v>351504.35</v>
      </c>
      <c r="N138" s="35">
        <f t="shared" si="14"/>
        <v>7478366.1899999995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526870.12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-351504.35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2212002.59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/>
      <c r="D156" s="4"/>
      <c r="E156" s="4"/>
      <c r="F156" s="4"/>
      <c r="G156" s="4"/>
      <c r="H156" s="4"/>
      <c r="I156" s="4"/>
      <c r="J156" s="67"/>
      <c r="K156" s="67"/>
      <c r="L156" s="4"/>
    </row>
    <row r="157" spans="1:12" x14ac:dyDescent="0.2">
      <c r="A157" s="55" t="s">
        <v>152</v>
      </c>
      <c r="B157" s="53"/>
      <c r="C157" s="70">
        <f>7089.19+3209.07+664.4</f>
        <v>10962.66</v>
      </c>
      <c r="D157" s="80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151</v>
      </c>
      <c r="B158" s="53"/>
      <c r="C158" s="70">
        <v>1926.41</v>
      </c>
      <c r="D158" s="81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150</v>
      </c>
      <c r="B159" s="53"/>
      <c r="C159" s="70">
        <f>2687.27+1976.76+0.28</f>
        <v>4664.3099999999995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237</v>
      </c>
      <c r="B160" s="53"/>
      <c r="C160" s="70">
        <v>14117.56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259</v>
      </c>
      <c r="B161" s="53"/>
      <c r="C161" s="71">
        <v>4744.22</v>
      </c>
      <c r="D161" s="82"/>
      <c r="E161" s="83"/>
      <c r="F161" s="4"/>
      <c r="G161" s="4"/>
      <c r="H161" s="4"/>
      <c r="I161" s="4"/>
      <c r="J161" s="67"/>
      <c r="K161" s="67"/>
      <c r="L161" s="4"/>
    </row>
    <row r="162" spans="1:13" ht="15.75" x14ac:dyDescent="0.25">
      <c r="A162" s="56"/>
      <c r="B162" s="57"/>
      <c r="C162" s="72">
        <f>SUM(C155:C161)</f>
        <v>36687.159999999996</v>
      </c>
      <c r="D162" s="82"/>
      <c r="E162" s="83"/>
      <c r="F162" s="4"/>
      <c r="G162" s="4"/>
      <c r="H162" s="4"/>
      <c r="I162" s="4"/>
      <c r="J162" s="67"/>
      <c r="K162" s="67"/>
      <c r="L162" s="4"/>
    </row>
    <row r="163" spans="1:13" ht="2.1" customHeight="1" x14ac:dyDescent="0.25">
      <c r="A163" s="56"/>
      <c r="B163" s="57"/>
      <c r="C163" s="73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0"/>
      <c r="D164" s="81"/>
      <c r="E164" s="4"/>
      <c r="F164" s="4"/>
      <c r="G164" s="4"/>
      <c r="H164" s="4"/>
      <c r="I164" s="4"/>
      <c r="J164" s="67"/>
      <c r="K164" s="67"/>
      <c r="L164" s="4"/>
    </row>
    <row r="165" spans="1:13" ht="2.1" customHeight="1" thickBot="1" x14ac:dyDescent="0.3">
      <c r="A165" s="58" t="s">
        <v>244</v>
      </c>
      <c r="B165" s="59"/>
      <c r="C165" s="69">
        <f>C152+C162</f>
        <v>2248689.75</v>
      </c>
      <c r="D165" s="80"/>
      <c r="E165" s="4"/>
      <c r="F165" s="4"/>
      <c r="G165" s="4"/>
      <c r="H165" s="4"/>
      <c r="I165" s="4"/>
      <c r="J165" s="67"/>
      <c r="K165" s="67"/>
      <c r="L165" s="4"/>
    </row>
    <row r="166" spans="1:13" ht="9.9499999999999993" customHeight="1" x14ac:dyDescent="0.2">
      <c r="A166" s="55"/>
      <c r="B166" s="53"/>
      <c r="C166" s="70"/>
      <c r="D166" s="80"/>
      <c r="E166" s="4"/>
      <c r="F166" s="4"/>
      <c r="G166" s="4"/>
      <c r="H166" s="4"/>
      <c r="I166" s="4"/>
      <c r="J166" s="67"/>
      <c r="K166" s="67"/>
      <c r="L166" s="4"/>
    </row>
    <row r="167" spans="1:13" ht="16.5" thickBot="1" x14ac:dyDescent="0.3">
      <c r="A167" s="58" t="s">
        <v>258</v>
      </c>
      <c r="B167" s="59"/>
      <c r="C167" s="69">
        <f>C152+C162</f>
        <v>2248689.75</v>
      </c>
      <c r="D167" s="82"/>
      <c r="E167" s="4"/>
      <c r="F167" s="4"/>
      <c r="G167" s="4"/>
      <c r="H167" s="4"/>
      <c r="I167" s="4"/>
      <c r="J167" s="67"/>
      <c r="K167" s="67"/>
      <c r="L167" s="4"/>
      <c r="M167" s="4"/>
    </row>
    <row r="168" spans="1:13" x14ac:dyDescent="0.2">
      <c r="A168" s="53"/>
      <c r="C168" s="4"/>
      <c r="D168" s="4"/>
      <c r="E168" s="4"/>
      <c r="F168" s="4"/>
      <c r="G168" s="4"/>
      <c r="H168" s="4"/>
      <c r="I168" s="4"/>
      <c r="J168" s="67"/>
      <c r="K168" s="67"/>
      <c r="L168" s="4"/>
    </row>
    <row r="169" spans="1:13" x14ac:dyDescent="0.2">
      <c r="C169" s="4"/>
      <c r="D169" s="4"/>
    </row>
    <row r="170" spans="1:13" x14ac:dyDescent="0.2">
      <c r="C170" s="14"/>
      <c r="D170" s="4"/>
    </row>
    <row r="171" spans="1:13" x14ac:dyDescent="0.2">
      <c r="C171" s="14"/>
      <c r="D171" s="4"/>
    </row>
    <row r="172" spans="1:13" x14ac:dyDescent="0.2">
      <c r="C172" s="15"/>
      <c r="D172" s="4"/>
      <c r="I172" s="4"/>
      <c r="K172" s="67"/>
      <c r="L172" s="4"/>
    </row>
    <row r="173" spans="1:13" x14ac:dyDescent="0.2">
      <c r="C173" s="15"/>
      <c r="D173" s="4"/>
    </row>
    <row r="174" spans="1:13" x14ac:dyDescent="0.2">
      <c r="C174" s="15"/>
      <c r="D174" s="4"/>
    </row>
    <row r="175" spans="1:13" x14ac:dyDescent="0.2">
      <c r="C175" s="15"/>
      <c r="D175" s="4"/>
    </row>
    <row r="176" spans="1:13" x14ac:dyDescent="0.2">
      <c r="C176" s="15"/>
      <c r="D176" s="4"/>
    </row>
    <row r="177" spans="2:12" x14ac:dyDescent="0.2">
      <c r="D177" s="4"/>
    </row>
    <row r="178" spans="2:12" x14ac:dyDescent="0.2">
      <c r="D178" s="4"/>
    </row>
    <row r="179" spans="2:12" x14ac:dyDescent="0.2">
      <c r="B179" s="11" t="s">
        <v>242</v>
      </c>
      <c r="D179" s="13" t="s">
        <v>231</v>
      </c>
      <c r="I179" s="13" t="s">
        <v>240</v>
      </c>
      <c r="K179" s="75"/>
    </row>
    <row r="180" spans="2:12" x14ac:dyDescent="0.2">
      <c r="B180" s="11" t="s">
        <v>90</v>
      </c>
      <c r="D180" s="13" t="s">
        <v>91</v>
      </c>
      <c r="I180" s="11" t="s">
        <v>249</v>
      </c>
    </row>
    <row r="184" spans="2:12" x14ac:dyDescent="0.2">
      <c r="I184" s="4"/>
      <c r="K184" s="67"/>
      <c r="L184" s="4"/>
    </row>
    <row r="185" spans="2:12" x14ac:dyDescent="0.2">
      <c r="I185" s="4"/>
      <c r="K185" s="67"/>
      <c r="L185" s="4"/>
    </row>
    <row r="186" spans="2:12" x14ac:dyDescent="0.2">
      <c r="G186" s="60"/>
      <c r="I186" s="60"/>
      <c r="K186" s="68"/>
      <c r="L186" s="4"/>
    </row>
    <row r="187" spans="2:12" x14ac:dyDescent="0.2">
      <c r="G187" s="60"/>
      <c r="I187" s="60"/>
      <c r="K187" s="68"/>
      <c r="L187" s="4"/>
    </row>
    <row r="188" spans="2:12" x14ac:dyDescent="0.2">
      <c r="G188" s="60"/>
      <c r="L188" s="4"/>
    </row>
    <row r="189" spans="2:12" x14ac:dyDescent="0.2">
      <c r="G189" s="60"/>
    </row>
    <row r="190" spans="2:12" x14ac:dyDescent="0.2">
      <c r="G190" s="60"/>
    </row>
    <row r="191" spans="2:12" x14ac:dyDescent="0.2">
      <c r="G191" s="60"/>
      <c r="L191" s="4"/>
    </row>
    <row r="192" spans="2:12" x14ac:dyDescent="0.2">
      <c r="G192" s="60"/>
    </row>
    <row r="193" spans="7:7" x14ac:dyDescent="0.2">
      <c r="G193" s="60"/>
    </row>
    <row r="194" spans="7:7" x14ac:dyDescent="0.2">
      <c r="G194" s="60"/>
    </row>
    <row r="195" spans="7:7" x14ac:dyDescent="0.2">
      <c r="G195" s="60"/>
    </row>
    <row r="196" spans="7:7" x14ac:dyDescent="0.2">
      <c r="G196" s="60"/>
    </row>
    <row r="197" spans="7:7" x14ac:dyDescent="0.2">
      <c r="G197" s="60"/>
    </row>
    <row r="198" spans="7:7" x14ac:dyDescent="0.2">
      <c r="G198" s="60"/>
    </row>
    <row r="199" spans="7:7" x14ac:dyDescent="0.2">
      <c r="G199" s="60"/>
    </row>
    <row r="200" spans="7:7" x14ac:dyDescent="0.2">
      <c r="G200" s="60"/>
    </row>
    <row r="201" spans="7:7" x14ac:dyDescent="0.2">
      <c r="G201" s="60"/>
    </row>
    <row r="202" spans="7:7" x14ac:dyDescent="0.2">
      <c r="G202" s="60"/>
    </row>
    <row r="203" spans="7:7" x14ac:dyDescent="0.2">
      <c r="G203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  <ignoredErrors>
    <ignoredError sqref="M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3"/>
  <sheetViews>
    <sheetView topLeftCell="C168" zoomScaleNormal="100" workbookViewId="0">
      <selection activeCell="J179" sqref="J179:J180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261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</f>
        <v>24600</v>
      </c>
      <c r="N10" s="29">
        <f t="shared" ref="N10:N22" si="1">L10-M10</f>
        <v>12400</v>
      </c>
      <c r="O10" s="28">
        <f>M10/$M$26</f>
        <v>1.8111319235855464E-2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>
        <f>3395+3655</f>
        <v>7050</v>
      </c>
      <c r="N12" s="29">
        <f t="shared" si="1"/>
        <v>23450</v>
      </c>
      <c r="O12" s="28">
        <f>M12/$M$26</f>
        <v>5.1904390493000413E-3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f>1190.19+1066.17+1152.99</f>
        <v>3409.3500000000004</v>
      </c>
      <c r="N15" s="29">
        <f t="shared" si="1"/>
        <v>5390.65</v>
      </c>
      <c r="O15" s="28">
        <f>M15/$M$26</f>
        <v>2.5100742372668222E-3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/>
      <c r="J18" s="45"/>
      <c r="K18" s="45"/>
      <c r="L18" s="29">
        <f>C18+D18-E18+F18-G18+J18-K18</f>
        <v>3669949.52</v>
      </c>
      <c r="M18" s="29">
        <f>249709.38+249709.38+360686.22</f>
        <v>860104.98</v>
      </c>
      <c r="N18" s="29">
        <f t="shared" si="1"/>
        <v>2809844.54</v>
      </c>
      <c r="O18" s="28">
        <f>M18/$M$26</f>
        <v>0.63323723045240154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v>463102.27</v>
      </c>
      <c r="N20" s="29">
        <f t="shared" si="1"/>
        <v>2222391.13</v>
      </c>
      <c r="O20" s="28">
        <f>M20/$M$26</f>
        <v>0.34095093702517604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/>
      <c r="N22" s="29">
        <f t="shared" si="1"/>
        <v>50000</v>
      </c>
      <c r="O22" s="28">
        <f>M22/$M$26</f>
        <v>0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1358266.6</v>
      </c>
      <c r="N26" s="35">
        <f t="shared" si="2"/>
        <v>6900257.0200000005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f>62454.4+62454.4+62454.4</f>
        <v>187363.20000000001</v>
      </c>
      <c r="N31" s="29">
        <f t="shared" ref="N31:N99" si="3">L31-M31</f>
        <v>627208.84000000008</v>
      </c>
      <c r="O31" s="39">
        <f>M31/$M$138</f>
        <v>0.25810863082694285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f>1125+1125+1125</f>
        <v>3375</v>
      </c>
      <c r="N32" s="29">
        <f t="shared" si="3"/>
        <v>10325</v>
      </c>
      <c r="O32" s="39">
        <f>M32/$M$138</f>
        <v>4.6493475188347129E-3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f>22349+22349+22349</f>
        <v>67047</v>
      </c>
      <c r="N33" s="29">
        <f t="shared" si="3"/>
        <v>244053</v>
      </c>
      <c r="O33" s="39">
        <f>M33/$M$138</f>
        <v>9.2362904620832895E-2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/>
      <c r="I34" s="29"/>
      <c r="J34" s="45"/>
      <c r="K34" s="45"/>
      <c r="L34" s="29">
        <f t="shared" si="4"/>
        <v>154000</v>
      </c>
      <c r="M34" s="29">
        <f>17142.84+17142.84-0.01</f>
        <v>34285.67</v>
      </c>
      <c r="N34" s="29">
        <f t="shared" si="3"/>
        <v>119714.33</v>
      </c>
      <c r="O34" s="39">
        <f>M34/$M$138</f>
        <v>4.7231405850692076E-2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</f>
        <v>5839.79</v>
      </c>
      <c r="N36" s="29">
        <f t="shared" si="3"/>
        <v>28671.010000000002</v>
      </c>
      <c r="O36" s="39">
        <f t="shared" si="5"/>
        <v>8.0448038954120792E-3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</f>
        <v>20614.759999999998</v>
      </c>
      <c r="N37" s="29">
        <f t="shared" si="3"/>
        <v>66786.39</v>
      </c>
      <c r="O37" s="39">
        <f t="shared" si="5"/>
        <v>2.839857281699943E-2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</f>
        <v>1932.02</v>
      </c>
      <c r="N38" s="29">
        <f t="shared" si="3"/>
        <v>6258.82</v>
      </c>
      <c r="O38" s="39">
        <f t="shared" si="5"/>
        <v>2.6615207091374941E-3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/>
      <c r="N39" s="29">
        <f t="shared" si="3"/>
        <v>67581.009999999995</v>
      </c>
      <c r="O39" s="39">
        <f t="shared" si="5"/>
        <v>0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/>
      <c r="N40" s="29">
        <f t="shared" si="3"/>
        <v>67581.009999999995</v>
      </c>
      <c r="O40" s="39">
        <f t="shared" si="5"/>
        <v>0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/>
      <c r="N41" s="29">
        <f t="shared" si="3"/>
        <v>4400</v>
      </c>
      <c r="O41" s="39">
        <f t="shared" si="5"/>
        <v>0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f>465.85+1911.83+1651.66</f>
        <v>4029.34</v>
      </c>
      <c r="N45" s="29">
        <f t="shared" si="3"/>
        <v>9720.66</v>
      </c>
      <c r="O45" s="39">
        <f t="shared" ref="O45:O54" si="7">M45/$M$138</f>
        <v>5.5507561278641373E-3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</f>
        <v>5927.77</v>
      </c>
      <c r="N46" s="29">
        <f t="shared" si="3"/>
        <v>20172.23</v>
      </c>
      <c r="O46" s="39">
        <f t="shared" si="7"/>
        <v>8.1660037753252881E-3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2.8102722780512044E-3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f>15+2240+725</f>
        <v>2980</v>
      </c>
      <c r="N49" s="29">
        <f t="shared" si="3"/>
        <v>11270</v>
      </c>
      <c r="O49" s="39">
        <f t="shared" si="7"/>
        <v>4.1052016610747984E-3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/>
      <c r="N50" s="29">
        <f t="shared" si="3"/>
        <v>673088.47</v>
      </c>
      <c r="O50" s="39">
        <f t="shared" si="7"/>
        <v>0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>
        <v>7164.11</v>
      </c>
      <c r="N51" s="29">
        <f t="shared" si="3"/>
        <v>556578.59</v>
      </c>
      <c r="O51" s="39">
        <f t="shared" si="7"/>
        <v>9.8691665342693202E-3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/>
      <c r="I52" s="29"/>
      <c r="J52" s="45"/>
      <c r="K52" s="45"/>
      <c r="L52" s="29">
        <f>C52+D52-E52+F52-G52+H52-I52+J52-K52</f>
        <v>500985.37</v>
      </c>
      <c r="M52" s="29">
        <f>10463.32+70410.62</f>
        <v>80873.94</v>
      </c>
      <c r="N52" s="29">
        <f t="shared" si="3"/>
        <v>420111.43</v>
      </c>
      <c r="O52" s="39">
        <f t="shared" si="7"/>
        <v>0.11141068215626296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>
        <v>800</v>
      </c>
      <c r="N53" s="29">
        <f t="shared" si="3"/>
        <v>224200</v>
      </c>
      <c r="O53" s="39">
        <f t="shared" si="7"/>
        <v>1.1020675600200802E-3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/>
      <c r="N54" s="29">
        <f t="shared" si="3"/>
        <v>75000</v>
      </c>
      <c r="O54" s="39">
        <f t="shared" si="7"/>
        <v>0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>
        <f>15000+7500</f>
        <v>22500</v>
      </c>
      <c r="N55" s="29">
        <f t="shared" si="3"/>
        <v>67500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/>
      <c r="N56" s="29">
        <f t="shared" si="3"/>
        <v>4400</v>
      </c>
      <c r="O56" s="39">
        <f t="shared" ref="O56:O61" si="8">M56/$M$138</f>
        <v>0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/>
      <c r="N58" s="29">
        <f t="shared" si="3"/>
        <v>7750</v>
      </c>
      <c r="O58" s="39">
        <f t="shared" si="8"/>
        <v>0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v>170.04</v>
      </c>
      <c r="N59" s="29">
        <f t="shared" si="3"/>
        <v>6829.96</v>
      </c>
      <c r="O59" s="39">
        <f t="shared" si="8"/>
        <v>2.3424445988226802E-4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v>150</v>
      </c>
      <c r="N60" s="29">
        <f t="shared" si="3"/>
        <v>13850</v>
      </c>
      <c r="O60" s="39">
        <f t="shared" si="8"/>
        <v>2.0663766750376504E-4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/>
      <c r="J63" s="45"/>
      <c r="K63" s="45"/>
      <c r="L63" s="29">
        <f t="shared" si="6"/>
        <v>115000</v>
      </c>
      <c r="M63" s="29"/>
      <c r="N63" s="29">
        <f t="shared" si="3"/>
        <v>115000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/>
      <c r="I64" s="29"/>
      <c r="J64" s="45"/>
      <c r="K64" s="45"/>
      <c r="L64" s="29">
        <f t="shared" si="6"/>
        <v>30750</v>
      </c>
      <c r="M64" s="29"/>
      <c r="N64" s="29">
        <f t="shared" si="3"/>
        <v>30750</v>
      </c>
      <c r="O64" s="39">
        <f t="shared" ref="O64:O79" si="9">M64/$M$138</f>
        <v>0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>
        <f>4909.09+4909.09</f>
        <v>9818.18</v>
      </c>
      <c r="N67" s="29">
        <f t="shared" si="3"/>
        <v>44181.82</v>
      </c>
      <c r="O67" s="39">
        <f t="shared" si="9"/>
        <v>1.3525372095547439E-2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f>4500+4500+4500</f>
        <v>13500</v>
      </c>
      <c r="N68" s="29">
        <f t="shared" si="3"/>
        <v>40500</v>
      </c>
      <c r="O68" s="39">
        <f t="shared" si="9"/>
        <v>1.8597390075338852E-2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/>
      <c r="N69" s="29">
        <f t="shared" si="3"/>
        <v>7500</v>
      </c>
      <c r="O69" s="39">
        <f t="shared" si="9"/>
        <v>0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v>650</v>
      </c>
      <c r="N70" s="29">
        <f t="shared" si="3"/>
        <v>23890</v>
      </c>
      <c r="O70" s="39">
        <f t="shared" si="9"/>
        <v>8.9542989251631508E-4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</f>
        <v>196349.51</v>
      </c>
      <c r="N71" s="29">
        <f t="shared" si="3"/>
        <v>666950.49</v>
      </c>
      <c r="O71" s="39">
        <f t="shared" si="9"/>
        <v>0.27048803174604791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/>
      <c r="J73" s="45"/>
      <c r="K73" s="45"/>
      <c r="L73" s="29">
        <f t="shared" si="6"/>
        <v>176000</v>
      </c>
      <c r="M73" s="29"/>
      <c r="N73" s="29">
        <f t="shared" si="3"/>
        <v>176000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/>
      <c r="N74" s="29">
        <f t="shared" si="3"/>
        <v>8250</v>
      </c>
      <c r="O74" s="39">
        <f t="shared" si="9"/>
        <v>0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</f>
        <v>353.51</v>
      </c>
      <c r="N75" s="29">
        <f t="shared" si="3"/>
        <v>2146.4899999999998</v>
      </c>
      <c r="O75" s="39">
        <f t="shared" si="9"/>
        <v>4.8698987892837313E-4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</f>
        <v>623.20000000000005</v>
      </c>
      <c r="N76" s="29">
        <f t="shared" si="3"/>
        <v>124376.8</v>
      </c>
      <c r="O76" s="39">
        <f t="shared" si="9"/>
        <v>8.5851062925564254E-4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</f>
        <v>418.5</v>
      </c>
      <c r="N79" s="29">
        <f t="shared" si="3"/>
        <v>50581.5</v>
      </c>
      <c r="O79" s="39">
        <f t="shared" si="9"/>
        <v>5.7651909233550442E-4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148784.1</v>
      </c>
      <c r="M83" s="29">
        <f>782.3+3384.3+2972.3</f>
        <v>7138.9000000000005</v>
      </c>
      <c r="N83" s="29">
        <f t="shared" si="3"/>
        <v>141645.20000000001</v>
      </c>
      <c r="O83" s="39">
        <f t="shared" ref="O83:O119" si="11">M83/$M$138</f>
        <v>9.8344376302841891E-3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>
        <v>100</v>
      </c>
      <c r="N87" s="29">
        <f t="shared" si="3"/>
        <v>4900</v>
      </c>
      <c r="O87" s="39">
        <f t="shared" si="11"/>
        <v>1.3775844500251002E-4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>
        <v>1260</v>
      </c>
      <c r="N88" s="29">
        <f t="shared" si="3"/>
        <v>32540</v>
      </c>
      <c r="O88" s="39">
        <f t="shared" si="11"/>
        <v>1.7357564070316263E-3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f>506.3+361.55+365.5</f>
        <v>1233.3499999999999</v>
      </c>
      <c r="N89" s="29">
        <f t="shared" si="3"/>
        <v>4016.65</v>
      </c>
      <c r="O89" s="39">
        <f t="shared" si="11"/>
        <v>1.6990437814384573E-3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f>941.5+113+924.25</f>
        <v>1978.75</v>
      </c>
      <c r="N90" s="29">
        <f t="shared" si="3"/>
        <v>8521.25</v>
      </c>
      <c r="O90" s="39">
        <f t="shared" si="11"/>
        <v>2.725895230487167E-3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f>69.8+860.8+22.5</f>
        <v>953.09999999999991</v>
      </c>
      <c r="N91" s="29">
        <f t="shared" si="3"/>
        <v>2096.9</v>
      </c>
      <c r="O91" s="39">
        <f t="shared" si="11"/>
        <v>1.3129757393189228E-3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/>
      <c r="N93" s="29">
        <f t="shared" si="3"/>
        <v>5500</v>
      </c>
      <c r="O93" s="39">
        <f t="shared" si="11"/>
        <v>0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>
        <v>550</v>
      </c>
      <c r="N94" s="29">
        <f t="shared" si="3"/>
        <v>2150</v>
      </c>
      <c r="O94" s="39">
        <f t="shared" si="11"/>
        <v>7.5767144751380511E-4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/>
      <c r="N95" s="29">
        <f t="shared" si="3"/>
        <v>2800</v>
      </c>
      <c r="O95" s="39">
        <f t="shared" si="11"/>
        <v>0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f>460+700+869</f>
        <v>2029</v>
      </c>
      <c r="N96" s="29">
        <f t="shared" si="3"/>
        <v>6471</v>
      </c>
      <c r="O96" s="39">
        <f t="shared" si="11"/>
        <v>2.7951188491009281E-3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>
        <f>62.5+745</f>
        <v>807.5</v>
      </c>
      <c r="N97" s="29">
        <f t="shared" si="3"/>
        <v>5192.5</v>
      </c>
      <c r="O97" s="39">
        <f t="shared" si="11"/>
        <v>1.1123994433952684E-3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f>750+1760+486</f>
        <v>2996</v>
      </c>
      <c r="N98" s="29">
        <f t="shared" si="3"/>
        <v>14504</v>
      </c>
      <c r="O98" s="39">
        <f t="shared" si="11"/>
        <v>4.1272430122752E-3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f>198.75+81+243.4</f>
        <v>523.15</v>
      </c>
      <c r="N99" s="29">
        <f t="shared" si="3"/>
        <v>2476.85</v>
      </c>
      <c r="O99" s="39">
        <f t="shared" si="11"/>
        <v>7.2068330503063114E-4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v>139</v>
      </c>
      <c r="N100" s="29">
        <f t="shared" ref="N100:N137" si="12">L100-M100</f>
        <v>1361</v>
      </c>
      <c r="O100" s="39">
        <f t="shared" si="11"/>
        <v>1.9148423855348893E-4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/>
      <c r="I101" s="29"/>
      <c r="J101" s="45"/>
      <c r="K101" s="45"/>
      <c r="L101" s="29">
        <f t="shared" si="10"/>
        <v>331653.07999999996</v>
      </c>
      <c r="M101" s="29"/>
      <c r="N101" s="29">
        <f t="shared" si="12"/>
        <v>331653.07999999996</v>
      </c>
      <c r="O101" s="39">
        <f t="shared" si="11"/>
        <v>0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/>
      <c r="N104" s="29">
        <f t="shared" si="12"/>
        <v>1500</v>
      </c>
      <c r="O104" s="39">
        <f t="shared" si="11"/>
        <v>0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/>
      <c r="N106" s="29">
        <f t="shared" si="12"/>
        <v>750</v>
      </c>
      <c r="O106" s="39">
        <f t="shared" si="11"/>
        <v>0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/>
      <c r="N108" s="29">
        <f t="shared" si="12"/>
        <v>4800</v>
      </c>
      <c r="O108" s="39">
        <f t="shared" si="11"/>
        <v>0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>
        <v>3725</v>
      </c>
      <c r="N109" s="29">
        <f t="shared" si="12"/>
        <v>25075</v>
      </c>
      <c r="O109" s="39">
        <f t="shared" si="11"/>
        <v>5.131502076343498E-3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/>
      <c r="J110" s="45"/>
      <c r="K110" s="45"/>
      <c r="L110" s="29">
        <f t="shared" si="10"/>
        <v>1150000</v>
      </c>
      <c r="M110" s="29">
        <v>7000</v>
      </c>
      <c r="N110" s="29">
        <f t="shared" si="12"/>
        <v>1143000</v>
      </c>
      <c r="O110" s="39">
        <f t="shared" si="11"/>
        <v>9.6430911501757012E-3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v>98</v>
      </c>
      <c r="N111" s="29">
        <f t="shared" si="12"/>
        <v>1402</v>
      </c>
      <c r="O111" s="39">
        <f t="shared" si="11"/>
        <v>1.3500327610245982E-4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f>150.8+236.6+203.5</f>
        <v>590.9</v>
      </c>
      <c r="N113" s="29">
        <f t="shared" si="12"/>
        <v>6009.1</v>
      </c>
      <c r="O113" s="39">
        <f t="shared" si="11"/>
        <v>8.1401465151983163E-4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>
        <v>62.64</v>
      </c>
      <c r="N114" s="29">
        <f t="shared" si="12"/>
        <v>3937.36</v>
      </c>
      <c r="O114" s="39">
        <f t="shared" si="11"/>
        <v>8.6291889949572279E-5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/>
      <c r="N115" s="29">
        <f t="shared" si="12"/>
        <v>25251.9</v>
      </c>
      <c r="O115" s="39">
        <f t="shared" si="11"/>
        <v>0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>
        <v>46</v>
      </c>
      <c r="N117" s="29">
        <f t="shared" si="12"/>
        <v>9454</v>
      </c>
      <c r="O117" s="39">
        <f t="shared" si="11"/>
        <v>6.3368884701154614E-5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>
        <v>101</v>
      </c>
      <c r="N118" s="29">
        <f t="shared" si="12"/>
        <v>75899</v>
      </c>
      <c r="O118" s="39">
        <f t="shared" si="11"/>
        <v>1.3913602945253513E-4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f>287+760.6+2770.11</f>
        <v>3817.71</v>
      </c>
      <c r="N119" s="29">
        <f t="shared" si="12"/>
        <v>5682.29</v>
      </c>
      <c r="O119" s="39">
        <f t="shared" si="11"/>
        <v>5.2592179307053254E-3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/>
      <c r="N124" s="29">
        <f t="shared" si="12"/>
        <v>10000</v>
      </c>
      <c r="O124" s="39">
        <f>M124/$M$138</f>
        <v>0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>
        <v>14992</v>
      </c>
      <c r="N128" s="29">
        <f t="shared" si="12"/>
        <v>25008</v>
      </c>
      <c r="O128" s="39">
        <f>+M128/M138</f>
        <v>2.0652746074776303E-2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/>
      <c r="N129" s="29">
        <f t="shared" si="12"/>
        <v>14300</v>
      </c>
      <c r="O129" s="39">
        <f>M129/$M$138</f>
        <v>0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/>
      <c r="N134" s="29">
        <f t="shared" si="12"/>
        <v>185900</v>
      </c>
      <c r="O134" s="39">
        <f>M134/$M$138</f>
        <v>0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/>
      <c r="N135" s="29">
        <f t="shared" si="12"/>
        <v>7170</v>
      </c>
      <c r="O135" s="39">
        <f>M135/$M$138</f>
        <v>0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f>750+1500+1500</f>
        <v>3750</v>
      </c>
      <c r="N136" s="29">
        <f t="shared" si="12"/>
        <v>66250</v>
      </c>
      <c r="O136" s="39">
        <f>M136/$M$138</f>
        <v>5.165941687594126E-3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>
        <v>3210.77</v>
      </c>
      <c r="N137" s="29">
        <f t="shared" si="12"/>
        <v>5539.23</v>
      </c>
      <c r="O137" s="39">
        <f>M137/$M$138</f>
        <v>4.4231068246070905E-3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428653.07999999996</v>
      </c>
      <c r="E138" s="35">
        <f t="shared" si="14"/>
        <v>0</v>
      </c>
      <c r="F138" s="35">
        <f t="shared" si="14"/>
        <v>992800</v>
      </c>
      <c r="G138" s="35">
        <f t="shared" si="14"/>
        <v>992800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>SUM(L31:L137)</f>
        <v>8258523.6200000001</v>
      </c>
      <c r="M138" s="35">
        <f>SUM(M31:M137)</f>
        <v>725908.31</v>
      </c>
      <c r="N138" s="35">
        <f t="shared" si="14"/>
        <v>7532615.3100000015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1358266.6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-725908.31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2668995.11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x14ac:dyDescent="0.2">
      <c r="A157" s="55" t="s">
        <v>152</v>
      </c>
      <c r="B157" s="53"/>
      <c r="C157" s="70">
        <f>6861.69+3106.09+643.08</f>
        <v>10610.859999999999</v>
      </c>
      <c r="D157" s="80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151</v>
      </c>
      <c r="B158" s="53"/>
      <c r="C158" s="70">
        <f>1926.41-544.47</f>
        <v>1381.94</v>
      </c>
      <c r="D158" s="81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150</v>
      </c>
      <c r="B159" s="53"/>
      <c r="C159" s="70">
        <f>3942.23+2779.92</f>
        <v>6722.15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237</v>
      </c>
      <c r="B160" s="53"/>
      <c r="C160" s="70">
        <v>14117.56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259</v>
      </c>
      <c r="B161" s="53"/>
      <c r="C161" s="71">
        <v>6671.8</v>
      </c>
      <c r="D161" s="82"/>
      <c r="E161" s="83"/>
      <c r="F161" s="4"/>
      <c r="G161" s="4"/>
      <c r="H161" s="4"/>
      <c r="I161" s="4"/>
      <c r="J161" s="67"/>
      <c r="K161" s="67"/>
      <c r="L161" s="4"/>
    </row>
    <row r="162" spans="1:13" ht="15.75" x14ac:dyDescent="0.25">
      <c r="A162" s="56"/>
      <c r="B162" s="57"/>
      <c r="C162" s="72">
        <f>SUM(C155:C161)</f>
        <v>39826.31</v>
      </c>
      <c r="D162" s="82"/>
      <c r="E162" s="83"/>
      <c r="F162" s="4"/>
      <c r="G162" s="4"/>
      <c r="H162" s="4"/>
      <c r="I162" s="4"/>
      <c r="J162" s="67"/>
      <c r="K162" s="67"/>
      <c r="L162" s="4"/>
    </row>
    <row r="163" spans="1:13" ht="2.1" customHeight="1" x14ac:dyDescent="0.25">
      <c r="A163" s="56"/>
      <c r="B163" s="57"/>
      <c r="C163" s="73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0"/>
      <c r="D164" s="81"/>
      <c r="E164" s="4"/>
      <c r="F164" s="4"/>
      <c r="G164" s="4"/>
      <c r="H164" s="4"/>
      <c r="I164" s="4"/>
      <c r="J164" s="67"/>
      <c r="K164" s="67"/>
      <c r="L164" s="4"/>
    </row>
    <row r="165" spans="1:13" ht="2.1" customHeight="1" thickBot="1" x14ac:dyDescent="0.3">
      <c r="A165" s="58" t="s">
        <v>244</v>
      </c>
      <c r="B165" s="59"/>
      <c r="C165" s="69">
        <f>C152+C162</f>
        <v>2708821.42</v>
      </c>
      <c r="D165" s="80"/>
      <c r="E165" s="4"/>
      <c r="F165" s="4"/>
      <c r="G165" s="4"/>
      <c r="H165" s="4"/>
      <c r="I165" s="4"/>
      <c r="J165" s="67"/>
      <c r="K165" s="67"/>
      <c r="L165" s="4"/>
    </row>
    <row r="166" spans="1:13" ht="9.9499999999999993" customHeight="1" x14ac:dyDescent="0.2">
      <c r="A166" s="55"/>
      <c r="B166" s="53"/>
      <c r="C166" s="70"/>
      <c r="D166" s="80"/>
      <c r="E166" s="4"/>
      <c r="F166" s="4"/>
      <c r="G166" s="4"/>
      <c r="H166" s="4"/>
      <c r="I166" s="4"/>
      <c r="J166" s="67"/>
      <c r="K166" s="67"/>
      <c r="L166" s="4"/>
    </row>
    <row r="167" spans="1:13" ht="16.5" thickBot="1" x14ac:dyDescent="0.3">
      <c r="A167" s="58" t="s">
        <v>263</v>
      </c>
      <c r="B167" s="59"/>
      <c r="C167" s="69">
        <f>C152+C162</f>
        <v>2708821.42</v>
      </c>
      <c r="D167" s="82"/>
      <c r="E167" s="4"/>
      <c r="F167" s="4"/>
      <c r="G167" s="4"/>
      <c r="H167" s="4"/>
      <c r="I167" s="4"/>
      <c r="J167" s="67"/>
      <c r="K167" s="67"/>
      <c r="L167" s="4"/>
      <c r="M167" s="4"/>
    </row>
    <row r="168" spans="1:13" x14ac:dyDescent="0.2">
      <c r="A168" s="53"/>
      <c r="C168" s="4"/>
      <c r="D168" s="4"/>
      <c r="E168" s="4"/>
      <c r="F168" s="4"/>
      <c r="G168" s="4"/>
      <c r="H168" s="4"/>
      <c r="I168" s="4"/>
      <c r="J168" s="67"/>
      <c r="K168" s="67"/>
      <c r="L168" s="4"/>
    </row>
    <row r="169" spans="1:13" x14ac:dyDescent="0.2">
      <c r="C169" s="4"/>
      <c r="D169" s="4"/>
    </row>
    <row r="170" spans="1:13" x14ac:dyDescent="0.2">
      <c r="C170" s="14"/>
      <c r="D170" s="4"/>
    </row>
    <row r="171" spans="1:13" x14ac:dyDescent="0.2">
      <c r="C171" s="14"/>
      <c r="D171" s="4"/>
    </row>
    <row r="172" spans="1:13" x14ac:dyDescent="0.2">
      <c r="C172" s="15"/>
      <c r="D172" s="4"/>
      <c r="I172" s="4"/>
      <c r="K172" s="67"/>
      <c r="L172" s="4"/>
    </row>
    <row r="173" spans="1:13" x14ac:dyDescent="0.2">
      <c r="C173" s="15"/>
      <c r="D173" s="4"/>
    </row>
    <row r="174" spans="1:13" x14ac:dyDescent="0.2">
      <c r="C174" s="15"/>
      <c r="D174" s="4"/>
    </row>
    <row r="175" spans="1:13" x14ac:dyDescent="0.2">
      <c r="C175" s="15"/>
      <c r="D175" s="4"/>
    </row>
    <row r="176" spans="1:13" x14ac:dyDescent="0.2">
      <c r="C176" s="15"/>
      <c r="D176" s="4"/>
    </row>
    <row r="177" spans="2:12" x14ac:dyDescent="0.2">
      <c r="D177" s="4"/>
    </row>
    <row r="178" spans="2:12" x14ac:dyDescent="0.2">
      <c r="D178" s="4"/>
    </row>
    <row r="179" spans="2:12" x14ac:dyDescent="0.2">
      <c r="B179" s="11" t="s">
        <v>242</v>
      </c>
      <c r="C179" s="13" t="s">
        <v>231</v>
      </c>
      <c r="G179" s="11" t="s">
        <v>264</v>
      </c>
      <c r="J179" s="13" t="s">
        <v>240</v>
      </c>
      <c r="K179" s="75"/>
    </row>
    <row r="180" spans="2:12" x14ac:dyDescent="0.2">
      <c r="B180" s="11" t="s">
        <v>90</v>
      </c>
      <c r="C180" s="13" t="s">
        <v>91</v>
      </c>
      <c r="G180" s="11" t="s">
        <v>265</v>
      </c>
      <c r="J180" s="11" t="s">
        <v>249</v>
      </c>
    </row>
    <row r="184" spans="2:12" x14ac:dyDescent="0.2">
      <c r="I184" s="4"/>
      <c r="K184" s="67"/>
      <c r="L184" s="4"/>
    </row>
    <row r="185" spans="2:12" x14ac:dyDescent="0.2">
      <c r="I185" s="4"/>
      <c r="K185" s="67"/>
      <c r="L185" s="4"/>
    </row>
    <row r="186" spans="2:12" x14ac:dyDescent="0.2">
      <c r="G186" s="60"/>
      <c r="I186" s="60"/>
      <c r="K186" s="68"/>
      <c r="L186" s="4"/>
    </row>
    <row r="187" spans="2:12" x14ac:dyDescent="0.2">
      <c r="G187" s="60"/>
      <c r="I187" s="60"/>
      <c r="K187" s="68"/>
      <c r="L187" s="4"/>
    </row>
    <row r="188" spans="2:12" x14ac:dyDescent="0.2">
      <c r="G188" s="60"/>
      <c r="L188" s="4"/>
    </row>
    <row r="189" spans="2:12" x14ac:dyDescent="0.2">
      <c r="G189" s="60"/>
    </row>
    <row r="190" spans="2:12" x14ac:dyDescent="0.2">
      <c r="G190" s="60"/>
    </row>
    <row r="191" spans="2:12" x14ac:dyDescent="0.2">
      <c r="G191" s="60"/>
      <c r="L191" s="4"/>
    </row>
    <row r="192" spans="2:12" x14ac:dyDescent="0.2">
      <c r="G192" s="60"/>
    </row>
    <row r="193" spans="7:7" x14ac:dyDescent="0.2">
      <c r="G193" s="60"/>
    </row>
    <row r="194" spans="7:7" x14ac:dyDescent="0.2">
      <c r="G194" s="60"/>
    </row>
    <row r="195" spans="7:7" x14ac:dyDescent="0.2">
      <c r="G195" s="60"/>
    </row>
    <row r="196" spans="7:7" x14ac:dyDescent="0.2">
      <c r="G196" s="60"/>
    </row>
    <row r="197" spans="7:7" x14ac:dyDescent="0.2">
      <c r="G197" s="60"/>
    </row>
    <row r="198" spans="7:7" x14ac:dyDescent="0.2">
      <c r="G198" s="60"/>
    </row>
    <row r="199" spans="7:7" x14ac:dyDescent="0.2">
      <c r="G199" s="60"/>
    </row>
    <row r="200" spans="7:7" x14ac:dyDescent="0.2">
      <c r="G200" s="60"/>
    </row>
    <row r="201" spans="7:7" x14ac:dyDescent="0.2">
      <c r="G201" s="60"/>
    </row>
    <row r="202" spans="7:7" x14ac:dyDescent="0.2">
      <c r="G202" s="60"/>
    </row>
    <row r="203" spans="7:7" x14ac:dyDescent="0.2">
      <c r="G203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B74D-C468-4673-A350-43E3AEAE6CCC}">
  <dimension ref="A1:O204"/>
  <sheetViews>
    <sheetView zoomScaleNormal="100" workbookViewId="0">
      <selection activeCell="C169" sqref="C169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266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15000+6800+2800+200</f>
        <v>24800</v>
      </c>
      <c r="N10" s="29">
        <f t="shared" ref="N10:N22" si="1">L10-M10</f>
        <v>12200</v>
      </c>
      <c r="O10" s="28">
        <f>M10/$M$26</f>
        <v>1.1675634142177484E-2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>
        <f>3395+3655+2040</f>
        <v>9090</v>
      </c>
      <c r="N12" s="29">
        <f t="shared" si="1"/>
        <v>21410</v>
      </c>
      <c r="O12" s="28">
        <f>M12/$M$26</f>
        <v>4.2794965464674727E-3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f>1190.19+1066.17+1152.99+1192.01</f>
        <v>4601.3600000000006</v>
      </c>
      <c r="N15" s="29">
        <f t="shared" si="1"/>
        <v>4198.6399999999994</v>
      </c>
      <c r="O15" s="28">
        <f>M15/$M$26</f>
        <v>2.1662820934052335E-3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/>
      <c r="J18" s="45"/>
      <c r="K18" s="45"/>
      <c r="L18" s="29">
        <f>C18+D18-E18+F18-G18+J18-K18</f>
        <v>3669949.52</v>
      </c>
      <c r="M18" s="29">
        <f>249709.38+249709.38+360686.22+256701.66</f>
        <v>1116806.6399999999</v>
      </c>
      <c r="N18" s="29">
        <f t="shared" si="1"/>
        <v>2553142.88</v>
      </c>
      <c r="O18" s="28">
        <f>M18/$M$26</f>
        <v>0.52578329581429506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f>463102.27+457387.6-20220.24+68514</f>
        <v>968783.63</v>
      </c>
      <c r="N20" s="29">
        <f t="shared" si="1"/>
        <v>1716709.77</v>
      </c>
      <c r="O20" s="28">
        <f>M20/$M$26</f>
        <v>0.45609529140365479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/>
      <c r="N22" s="29">
        <f t="shared" si="1"/>
        <v>50000</v>
      </c>
      <c r="O22" s="28">
        <f>M22/$M$26</f>
        <v>0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2124081.63</v>
      </c>
      <c r="N26" s="35">
        <f t="shared" si="2"/>
        <v>6134441.9900000002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f>62454.4+62454.4+62454.4+62454.4</f>
        <v>249817.60000000001</v>
      </c>
      <c r="N31" s="29">
        <f t="shared" ref="N31:N99" si="3">L31-M31</f>
        <v>564754.44000000006</v>
      </c>
      <c r="O31" s="39">
        <f>M31/$M$138</f>
        <v>0.19881599963531205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f>1125+1125+1125+1125</f>
        <v>4500</v>
      </c>
      <c r="N32" s="29">
        <f t="shared" si="3"/>
        <v>9200</v>
      </c>
      <c r="O32" s="39">
        <f>M32/$M$138</f>
        <v>3.5813009105799759E-3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f>22349+22349+22349+22349</f>
        <v>89396</v>
      </c>
      <c r="N33" s="29">
        <f t="shared" si="3"/>
        <v>221704</v>
      </c>
      <c r="O33" s="39">
        <f>M33/$M$138</f>
        <v>7.1145328044935008E-2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/>
      <c r="I34" s="29"/>
      <c r="J34" s="45"/>
      <c r="K34" s="45"/>
      <c r="L34" s="29">
        <f t="shared" si="4"/>
        <v>154000</v>
      </c>
      <c r="M34" s="29">
        <f>17142.84+17142.84-0.01+17142.84</f>
        <v>51428.509999999995</v>
      </c>
      <c r="N34" s="29">
        <f t="shared" si="3"/>
        <v>102571.49</v>
      </c>
      <c r="O34" s="39">
        <f>M34/$M$138</f>
        <v>4.0929104376171421E-2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3985.95+1853.84+1927.62</f>
        <v>7767.41</v>
      </c>
      <c r="N36" s="29">
        <f t="shared" si="3"/>
        <v>26743.390000000003</v>
      </c>
      <c r="O36" s="39">
        <f t="shared" si="5"/>
        <v>6.1816516679662247E-3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6663.88+7089.19+6861.69+6869.56</f>
        <v>27484.32</v>
      </c>
      <c r="N37" s="29">
        <f t="shared" si="3"/>
        <v>59916.829999999994</v>
      </c>
      <c r="O37" s="39">
        <f t="shared" si="5"/>
        <v>2.1873248942815879E-2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624.54+664.4+643.08+643.82</f>
        <v>2575.84</v>
      </c>
      <c r="N38" s="29">
        <f t="shared" si="3"/>
        <v>5615</v>
      </c>
      <c r="O38" s="39">
        <f t="shared" si="5"/>
        <v>2.0499684750018505E-3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/>
      <c r="N39" s="29">
        <f t="shared" si="3"/>
        <v>67581.009999999995</v>
      </c>
      <c r="O39" s="39">
        <f t="shared" si="5"/>
        <v>0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/>
      <c r="N40" s="29">
        <f t="shared" si="3"/>
        <v>67581.009999999995</v>
      </c>
      <c r="O40" s="39">
        <f t="shared" si="5"/>
        <v>0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/>
      <c r="N41" s="29">
        <f t="shared" si="3"/>
        <v>4400</v>
      </c>
      <c r="O41" s="39">
        <f t="shared" si="5"/>
        <v>0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f>465.85+1911.83+1651.66+1641.4</f>
        <v>5670.74</v>
      </c>
      <c r="N45" s="29">
        <f t="shared" si="3"/>
        <v>8079.26</v>
      </c>
      <c r="O45" s="39">
        <f t="shared" ref="O45:O54" si="7">M45/$M$138</f>
        <v>4.5130280723693983E-3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4700.89+616.64+610.24+619.85</f>
        <v>6547.6200000000008</v>
      </c>
      <c r="N46" s="29">
        <f t="shared" si="3"/>
        <v>19552.379999999997</v>
      </c>
      <c r="O46" s="39">
        <f t="shared" si="7"/>
        <v>5.210888326251481E-3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1.6235230794629226E-3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f>15+2240+725+367.5</f>
        <v>3347.5</v>
      </c>
      <c r="N49" s="29">
        <f t="shared" si="3"/>
        <v>10902.5</v>
      </c>
      <c r="O49" s="39">
        <f t="shared" si="7"/>
        <v>2.6640899551481044E-3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/>
      <c r="N50" s="29">
        <f t="shared" si="3"/>
        <v>673088.47</v>
      </c>
      <c r="O50" s="39">
        <f t="shared" si="7"/>
        <v>0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>
        <f>7164.11+116434.25</f>
        <v>123598.36</v>
      </c>
      <c r="N51" s="29">
        <f t="shared" si="3"/>
        <v>440144.33999999997</v>
      </c>
      <c r="O51" s="39">
        <f t="shared" si="7"/>
        <v>9.8365093158709269E-2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/>
      <c r="I52" s="29"/>
      <c r="J52" s="45"/>
      <c r="K52" s="45"/>
      <c r="L52" s="29">
        <f>C52+D52-E52+F52-G52+H52-I52+J52-K52</f>
        <v>500985.37</v>
      </c>
      <c r="M52" s="29">
        <f>10463.32+70410.62+88302.55</f>
        <v>169176.49</v>
      </c>
      <c r="N52" s="29">
        <f t="shared" si="3"/>
        <v>331808.88</v>
      </c>
      <c r="O52" s="39">
        <f t="shared" si="7"/>
        <v>0.13463820393016093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>
        <f>800+23101.17</f>
        <v>23901.17</v>
      </c>
      <c r="N53" s="29">
        <f t="shared" si="3"/>
        <v>201098.83000000002</v>
      </c>
      <c r="O53" s="39">
        <f t="shared" si="7"/>
        <v>1.9021618196650401E-2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/>
      <c r="N54" s="29">
        <f t="shared" si="3"/>
        <v>75000</v>
      </c>
      <c r="O54" s="39">
        <f t="shared" si="7"/>
        <v>0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>
        <f>15000+7500+7500</f>
        <v>30000</v>
      </c>
      <c r="N55" s="29">
        <f t="shared" si="3"/>
        <v>60000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>
        <v>3068.8</v>
      </c>
      <c r="N56" s="29">
        <f t="shared" si="3"/>
        <v>1331.1999999999998</v>
      </c>
      <c r="O56" s="39">
        <f t="shared" ref="O56:O61" si="8">M56/$M$138</f>
        <v>2.4422880520861847E-3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/>
      <c r="N58" s="29">
        <f t="shared" si="3"/>
        <v>7750</v>
      </c>
      <c r="O58" s="39">
        <f t="shared" si="8"/>
        <v>0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v>170.04</v>
      </c>
      <c r="N59" s="29">
        <f t="shared" si="3"/>
        <v>6829.96</v>
      </c>
      <c r="O59" s="39">
        <f t="shared" si="8"/>
        <v>1.3532542374111535E-4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v>150</v>
      </c>
      <c r="N60" s="29">
        <f t="shared" si="3"/>
        <v>13850</v>
      </c>
      <c r="O60" s="39">
        <f t="shared" si="8"/>
        <v>1.1937669701933254E-4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/>
      <c r="J63" s="45"/>
      <c r="K63" s="45"/>
      <c r="L63" s="29">
        <f t="shared" si="6"/>
        <v>115000</v>
      </c>
      <c r="M63" s="29"/>
      <c r="N63" s="29">
        <f t="shared" si="3"/>
        <v>115000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/>
      <c r="I64" s="29"/>
      <c r="J64" s="45"/>
      <c r="K64" s="45"/>
      <c r="L64" s="29">
        <f t="shared" si="6"/>
        <v>30750</v>
      </c>
      <c r="M64" s="29"/>
      <c r="N64" s="29">
        <f t="shared" si="3"/>
        <v>30750</v>
      </c>
      <c r="O64" s="39">
        <f t="shared" ref="O64:O79" si="9">M64/$M$138</f>
        <v>0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>
        <f>4909.09+4909.09+4909.09</f>
        <v>14727.27</v>
      </c>
      <c r="N67" s="29">
        <f t="shared" si="3"/>
        <v>39272.729999999996</v>
      </c>
      <c r="O67" s="39">
        <f t="shared" si="9"/>
        <v>1.1720618991412704E-2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f>4500+4500+4500+4500</f>
        <v>18000</v>
      </c>
      <c r="N68" s="29">
        <f t="shared" si="3"/>
        <v>36000</v>
      </c>
      <c r="O68" s="39">
        <f t="shared" si="9"/>
        <v>1.4325203642319904E-2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/>
      <c r="N69" s="29">
        <f t="shared" si="3"/>
        <v>7500</v>
      </c>
      <c r="O69" s="39">
        <f t="shared" si="9"/>
        <v>0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f>650+840</f>
        <v>1490</v>
      </c>
      <c r="N70" s="29">
        <f t="shared" si="3"/>
        <v>23050</v>
      </c>
      <c r="O70" s="39">
        <f t="shared" si="9"/>
        <v>1.1858085237253699E-3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75279.4+121070.11+58800</f>
        <v>255149.51</v>
      </c>
      <c r="N71" s="29">
        <f t="shared" si="3"/>
        <v>608150.49</v>
      </c>
      <c r="O71" s="39">
        <f t="shared" si="9"/>
        <v>0.20305937166600774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/>
      <c r="J73" s="45"/>
      <c r="K73" s="45"/>
      <c r="L73" s="29">
        <f t="shared" si="6"/>
        <v>176000</v>
      </c>
      <c r="M73" s="29"/>
      <c r="N73" s="29">
        <f t="shared" si="3"/>
        <v>176000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/>
      <c r="N74" s="29">
        <f t="shared" si="3"/>
        <v>8250</v>
      </c>
      <c r="O74" s="39">
        <f t="shared" si="9"/>
        <v>0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50.36+100.33+202.82+281.23</f>
        <v>634.74</v>
      </c>
      <c r="N75" s="29">
        <f t="shared" si="3"/>
        <v>1865.26</v>
      </c>
      <c r="O75" s="39">
        <f t="shared" si="9"/>
        <v>5.0515443110700758E-4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30+230.2+363+17298.83</f>
        <v>17922.030000000002</v>
      </c>
      <c r="N76" s="29">
        <f t="shared" si="3"/>
        <v>107077.97</v>
      </c>
      <c r="O76" s="39">
        <f t="shared" si="9"/>
        <v>1.4263151635209257E-2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80+273+65.5+267.5</f>
        <v>686</v>
      </c>
      <c r="N79" s="29">
        <f t="shared" si="3"/>
        <v>50314</v>
      </c>
      <c r="O79" s="39">
        <f t="shared" si="9"/>
        <v>5.459494277017475E-4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148784.1</v>
      </c>
      <c r="M83" s="29">
        <f>782.3+3384.3+2972.3+3318.7</f>
        <v>10457.6</v>
      </c>
      <c r="N83" s="29">
        <f t="shared" si="3"/>
        <v>138326.5</v>
      </c>
      <c r="O83" s="39">
        <f t="shared" ref="O83:O119" si="11">M83/$M$138</f>
        <v>8.3226249783291458E-3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>
        <v>100</v>
      </c>
      <c r="N87" s="29">
        <f t="shared" si="3"/>
        <v>4900</v>
      </c>
      <c r="O87" s="39">
        <f t="shared" si="11"/>
        <v>7.9584464679555023E-5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>
        <f>1260+720</f>
        <v>1980</v>
      </c>
      <c r="N88" s="29">
        <f t="shared" si="3"/>
        <v>31820</v>
      </c>
      <c r="O88" s="39">
        <f t="shared" si="11"/>
        <v>1.5757724006551896E-3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f>506.3+361.55+365.5+576.56</f>
        <v>1809.9099999999999</v>
      </c>
      <c r="N89" s="29">
        <f t="shared" si="3"/>
        <v>3440.09</v>
      </c>
      <c r="O89" s="39">
        <f t="shared" si="11"/>
        <v>1.4404071846817342E-3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f>941.5+113+924.25+970.84</f>
        <v>2949.59</v>
      </c>
      <c r="N90" s="29">
        <f t="shared" si="3"/>
        <v>7550.41</v>
      </c>
      <c r="O90" s="39">
        <f t="shared" si="11"/>
        <v>2.347415411741687E-3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f>69.8+860.8+22.5+20.75</f>
        <v>973.84999999999991</v>
      </c>
      <c r="N91" s="29">
        <f t="shared" si="3"/>
        <v>2076.15</v>
      </c>
      <c r="O91" s="39">
        <f t="shared" si="11"/>
        <v>7.750333092818465E-4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/>
      <c r="N93" s="29">
        <f t="shared" si="3"/>
        <v>5500</v>
      </c>
      <c r="O93" s="39">
        <f t="shared" si="11"/>
        <v>0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>
        <f>550+360</f>
        <v>910</v>
      </c>
      <c r="N94" s="29">
        <f t="shared" si="3"/>
        <v>1790</v>
      </c>
      <c r="O94" s="39">
        <f t="shared" si="11"/>
        <v>7.2421862858395073E-4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/>
      <c r="N95" s="29">
        <f t="shared" si="3"/>
        <v>2800</v>
      </c>
      <c r="O95" s="39">
        <f t="shared" si="11"/>
        <v>0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f>460+700+869+440</f>
        <v>2469</v>
      </c>
      <c r="N96" s="29">
        <f t="shared" si="3"/>
        <v>6031</v>
      </c>
      <c r="O96" s="39">
        <f t="shared" si="11"/>
        <v>1.9649404329382136E-3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>
        <f>62.5+745</f>
        <v>807.5</v>
      </c>
      <c r="N97" s="29">
        <f t="shared" si="3"/>
        <v>5192.5</v>
      </c>
      <c r="O97" s="39">
        <f t="shared" si="11"/>
        <v>6.4264455228740683E-4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f>750+1760+486</f>
        <v>2996</v>
      </c>
      <c r="N98" s="29">
        <f t="shared" si="3"/>
        <v>14504</v>
      </c>
      <c r="O98" s="39">
        <f t="shared" si="11"/>
        <v>2.3843505617994684E-3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f>198.75+81+243.4</f>
        <v>523.15</v>
      </c>
      <c r="N99" s="29">
        <f t="shared" si="3"/>
        <v>2476.85</v>
      </c>
      <c r="O99" s="39">
        <f t="shared" si="11"/>
        <v>4.1634612697109212E-4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f>139+605.62</f>
        <v>744.62</v>
      </c>
      <c r="N100" s="29">
        <f t="shared" ref="N100:N137" si="12">L100-M100</f>
        <v>755.38</v>
      </c>
      <c r="O100" s="39">
        <f t="shared" si="11"/>
        <v>5.9260184089690267E-4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/>
      <c r="I101" s="29"/>
      <c r="J101" s="45"/>
      <c r="K101" s="45"/>
      <c r="L101" s="29">
        <f t="shared" si="10"/>
        <v>331653.07999999996</v>
      </c>
      <c r="M101" s="29">
        <v>69156.28</v>
      </c>
      <c r="N101" s="29">
        <f t="shared" si="12"/>
        <v>262496.79999999993</v>
      </c>
      <c r="O101" s="39">
        <f t="shared" si="11"/>
        <v>5.5037655230294177E-2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/>
      <c r="N104" s="29">
        <f t="shared" si="12"/>
        <v>1500</v>
      </c>
      <c r="O104" s="39">
        <f t="shared" si="11"/>
        <v>0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/>
      <c r="N106" s="29">
        <f t="shared" si="12"/>
        <v>750</v>
      </c>
      <c r="O106" s="39">
        <f t="shared" si="11"/>
        <v>0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>
        <v>252.58</v>
      </c>
      <c r="N108" s="29">
        <f t="shared" si="12"/>
        <v>4547.42</v>
      </c>
      <c r="O108" s="39">
        <f t="shared" si="11"/>
        <v>2.010144408876201E-4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>
        <f>3725+6961.98</f>
        <v>10686.98</v>
      </c>
      <c r="N109" s="29">
        <f t="shared" si="12"/>
        <v>18113.02</v>
      </c>
      <c r="O109" s="39">
        <f t="shared" si="11"/>
        <v>8.5051758234111086E-3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/>
      <c r="J110" s="45"/>
      <c r="K110" s="45"/>
      <c r="L110" s="29">
        <f t="shared" si="10"/>
        <v>1150000</v>
      </c>
      <c r="M110" s="29">
        <v>7000</v>
      </c>
      <c r="N110" s="29">
        <f t="shared" si="12"/>
        <v>1143000</v>
      </c>
      <c r="O110" s="39">
        <f t="shared" si="11"/>
        <v>5.5709125275688514E-3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f>98+23.07</f>
        <v>121.07</v>
      </c>
      <c r="N111" s="29">
        <f t="shared" si="12"/>
        <v>1378.93</v>
      </c>
      <c r="O111" s="39">
        <f t="shared" si="11"/>
        <v>9.6352911387537259E-5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f>150.8+236.6+203.5+101.05</f>
        <v>691.94999999999993</v>
      </c>
      <c r="N113" s="29">
        <f t="shared" si="12"/>
        <v>5908.05</v>
      </c>
      <c r="O113" s="39">
        <f t="shared" si="11"/>
        <v>5.506847033501809E-4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>
        <f>62.64+157.34</f>
        <v>219.98000000000002</v>
      </c>
      <c r="N114" s="29">
        <f t="shared" si="12"/>
        <v>3780.02</v>
      </c>
      <c r="O114" s="39">
        <f t="shared" si="11"/>
        <v>1.7506990540208515E-4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>
        <v>4500</v>
      </c>
      <c r="N115" s="29">
        <f t="shared" si="12"/>
        <v>20751.900000000001</v>
      </c>
      <c r="O115" s="39">
        <f t="shared" si="11"/>
        <v>3.5813009105799759E-3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>
        <f>46+262</f>
        <v>308</v>
      </c>
      <c r="N117" s="29">
        <f t="shared" si="12"/>
        <v>9192</v>
      </c>
      <c r="O117" s="39">
        <f t="shared" si="11"/>
        <v>2.451201512130295E-4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>
        <v>101</v>
      </c>
      <c r="N118" s="29">
        <f t="shared" si="12"/>
        <v>75899</v>
      </c>
      <c r="O118" s="39">
        <f t="shared" si="11"/>
        <v>8.0380309326350571E-5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f>287+760.6+2770.11+247.15</f>
        <v>4064.86</v>
      </c>
      <c r="N119" s="29">
        <f t="shared" si="12"/>
        <v>5435.1399999999994</v>
      </c>
      <c r="O119" s="39">
        <f t="shared" si="11"/>
        <v>3.2349970709733603E-3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/>
      <c r="N124" s="29">
        <f t="shared" si="12"/>
        <v>10000</v>
      </c>
      <c r="O124" s="39">
        <f>M124/$M$138</f>
        <v>0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>
        <v>14992</v>
      </c>
      <c r="N128" s="29">
        <f t="shared" si="12"/>
        <v>25008</v>
      </c>
      <c r="O128" s="39">
        <f>+M128/M138</f>
        <v>1.1931302944758889E-2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/>
      <c r="N129" s="29">
        <f t="shared" si="12"/>
        <v>14300</v>
      </c>
      <c r="O129" s="39">
        <f>M129/$M$138</f>
        <v>0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/>
      <c r="N134" s="29">
        <f t="shared" si="12"/>
        <v>185900</v>
      </c>
      <c r="O134" s="39">
        <f>M134/$M$138</f>
        <v>0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/>
      <c r="N135" s="29">
        <f t="shared" si="12"/>
        <v>7170</v>
      </c>
      <c r="O135" s="39">
        <f>M135/$M$138</f>
        <v>0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f>750+1500+1500+1500</f>
        <v>5250</v>
      </c>
      <c r="N136" s="29">
        <f t="shared" si="12"/>
        <v>64750</v>
      </c>
      <c r="O136" s="39">
        <f>M136/$M$138</f>
        <v>4.1781843956766387E-3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>
        <v>3210.77</v>
      </c>
      <c r="N137" s="29">
        <f t="shared" si="12"/>
        <v>5539.23</v>
      </c>
      <c r="O137" s="39">
        <f>M137/$M$138</f>
        <v>2.555274116591749E-3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428653.07999999996</v>
      </c>
      <c r="E138" s="35">
        <f t="shared" si="14"/>
        <v>0</v>
      </c>
      <c r="F138" s="35">
        <f t="shared" si="14"/>
        <v>992800</v>
      </c>
      <c r="G138" s="35">
        <f t="shared" si="14"/>
        <v>992800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>SUM(L31:L137)</f>
        <v>8258523.6200000001</v>
      </c>
      <c r="M138" s="35">
        <f>SUM(M31:M137)</f>
        <v>1256526.6400000006</v>
      </c>
      <c r="N138" s="35">
        <f t="shared" si="14"/>
        <v>7001996.9799999977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2124081.63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-1256526.6400000006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2904191.8099999996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x14ac:dyDescent="0.2">
      <c r="A157" s="55" t="s">
        <v>152</v>
      </c>
      <c r="B157" s="53"/>
      <c r="C157" s="70">
        <f>6869.56+3109.66+643.82</f>
        <v>10623.04</v>
      </c>
      <c r="D157" s="80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151</v>
      </c>
      <c r="B158" s="53"/>
      <c r="C158" s="70">
        <v>1926.41</v>
      </c>
      <c r="D158" s="81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150</v>
      </c>
      <c r="B159" s="53"/>
      <c r="C159" s="70">
        <v>4502.7299999999996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237</v>
      </c>
      <c r="B160" s="53"/>
      <c r="C160" s="70">
        <v>-0.01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268</v>
      </c>
      <c r="B161" s="53"/>
      <c r="C161" s="70">
        <v>-395.51</v>
      </c>
      <c r="D161" s="81"/>
      <c r="E161" s="4"/>
      <c r="F161" s="4"/>
      <c r="G161" s="4"/>
      <c r="H161" s="4"/>
      <c r="I161" s="4"/>
      <c r="J161" s="67"/>
      <c r="K161" s="67"/>
      <c r="L161" s="4"/>
    </row>
    <row r="162" spans="1:13" x14ac:dyDescent="0.2">
      <c r="A162" s="55"/>
      <c r="B162" s="53"/>
      <c r="C162" s="71"/>
      <c r="D162" s="82"/>
      <c r="E162" s="83"/>
      <c r="F162" s="4"/>
      <c r="G162" s="4"/>
      <c r="H162" s="4"/>
      <c r="I162" s="4"/>
      <c r="J162" s="67"/>
      <c r="K162" s="67"/>
      <c r="L162" s="4"/>
    </row>
    <row r="163" spans="1:13" ht="15.75" x14ac:dyDescent="0.25">
      <c r="A163" s="56"/>
      <c r="B163" s="57"/>
      <c r="C163" s="72">
        <f>SUM(C155:C162)</f>
        <v>16978.660000000003</v>
      </c>
      <c r="D163" s="82"/>
      <c r="E163" s="83"/>
      <c r="F163" s="4"/>
      <c r="G163" s="4"/>
      <c r="H163" s="4"/>
      <c r="I163" s="4"/>
      <c r="J163" s="67"/>
      <c r="K163" s="67"/>
      <c r="L163" s="4"/>
    </row>
    <row r="164" spans="1:13" ht="2.1" customHeight="1" x14ac:dyDescent="0.25">
      <c r="A164" s="56"/>
      <c r="B164" s="57"/>
      <c r="C164" s="73"/>
      <c r="D164" s="81"/>
      <c r="E164" s="4"/>
      <c r="F164" s="4"/>
      <c r="G164" s="4"/>
      <c r="H164" s="4"/>
      <c r="I164" s="4"/>
      <c r="J164" s="67"/>
      <c r="K164" s="67"/>
      <c r="L164" s="4"/>
    </row>
    <row r="165" spans="1:13" x14ac:dyDescent="0.2">
      <c r="A165" s="55"/>
      <c r="B165" s="53"/>
      <c r="C165" s="70"/>
      <c r="D165" s="81"/>
      <c r="E165" s="4"/>
      <c r="F165" s="4"/>
      <c r="G165" s="4"/>
      <c r="H165" s="4"/>
      <c r="I165" s="4"/>
      <c r="J165" s="67"/>
      <c r="K165" s="67"/>
      <c r="L165" s="4"/>
    </row>
    <row r="166" spans="1:13" ht="2.1" customHeight="1" thickBot="1" x14ac:dyDescent="0.3">
      <c r="A166" s="58" t="s">
        <v>244</v>
      </c>
      <c r="B166" s="59"/>
      <c r="C166" s="69">
        <f>C152+C163</f>
        <v>2921170.4699999997</v>
      </c>
      <c r="D166" s="80"/>
      <c r="E166" s="4"/>
      <c r="F166" s="4"/>
      <c r="G166" s="4"/>
      <c r="H166" s="4"/>
      <c r="I166" s="4"/>
      <c r="J166" s="67"/>
      <c r="K166" s="67"/>
      <c r="L166" s="4"/>
    </row>
    <row r="167" spans="1:13" ht="9.9499999999999993" customHeight="1" x14ac:dyDescent="0.2">
      <c r="A167" s="55"/>
      <c r="B167" s="53"/>
      <c r="C167" s="70"/>
      <c r="D167" s="80"/>
      <c r="E167" s="4"/>
      <c r="F167" s="4"/>
      <c r="G167" s="4"/>
      <c r="H167" s="4"/>
      <c r="I167" s="4"/>
      <c r="J167" s="67"/>
      <c r="K167" s="67"/>
      <c r="L167" s="4"/>
    </row>
    <row r="168" spans="1:13" ht="16.5" thickBot="1" x14ac:dyDescent="0.3">
      <c r="A168" s="58" t="s">
        <v>267</v>
      </c>
      <c r="B168" s="59"/>
      <c r="C168" s="69">
        <f>C152+C163</f>
        <v>2921170.4699999997</v>
      </c>
      <c r="D168" s="82"/>
      <c r="E168" s="4"/>
      <c r="F168" s="4"/>
      <c r="G168" s="4"/>
      <c r="H168" s="4"/>
      <c r="I168" s="4"/>
      <c r="J168" s="67"/>
      <c r="K168" s="67"/>
      <c r="L168" s="4"/>
      <c r="M168" s="4"/>
    </row>
    <row r="169" spans="1:13" x14ac:dyDescent="0.2">
      <c r="A169" s="53"/>
      <c r="C169" s="4"/>
      <c r="D169" s="4"/>
      <c r="E169" s="4"/>
      <c r="F169" s="4"/>
      <c r="G169" s="4"/>
      <c r="H169" s="4"/>
      <c r="I169" s="4"/>
      <c r="J169" s="67"/>
      <c r="K169" s="67"/>
      <c r="L169" s="4"/>
    </row>
    <row r="170" spans="1:13" x14ac:dyDescent="0.2">
      <c r="C170" s="4"/>
      <c r="D170" s="4"/>
    </row>
    <row r="171" spans="1:13" x14ac:dyDescent="0.2">
      <c r="C171" s="14"/>
      <c r="D171" s="4"/>
    </row>
    <row r="172" spans="1:13" x14ac:dyDescent="0.2">
      <c r="C172" s="14"/>
      <c r="D172" s="4"/>
    </row>
    <row r="173" spans="1:13" x14ac:dyDescent="0.2">
      <c r="C173" s="15"/>
      <c r="D173" s="4"/>
      <c r="I173" s="4"/>
      <c r="K173" s="67"/>
      <c r="L173" s="4"/>
    </row>
    <row r="174" spans="1:13" x14ac:dyDescent="0.2">
      <c r="C174" s="15"/>
      <c r="D174" s="4"/>
    </row>
    <row r="175" spans="1:13" x14ac:dyDescent="0.2">
      <c r="C175" s="15"/>
      <c r="D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D178" s="4"/>
    </row>
    <row r="179" spans="2:12" x14ac:dyDescent="0.2">
      <c r="D179" s="4"/>
    </row>
    <row r="180" spans="2:12" x14ac:dyDescent="0.2">
      <c r="B180" s="11" t="s">
        <v>242</v>
      </c>
      <c r="C180" s="13" t="s">
        <v>231</v>
      </c>
      <c r="G180" s="11" t="s">
        <v>264</v>
      </c>
      <c r="J180" s="13" t="s">
        <v>240</v>
      </c>
      <c r="K180" s="75"/>
    </row>
    <row r="181" spans="2:12" x14ac:dyDescent="0.2">
      <c r="B181" s="11" t="s">
        <v>90</v>
      </c>
      <c r="C181" s="13" t="s">
        <v>91</v>
      </c>
      <c r="G181" s="11" t="s">
        <v>265</v>
      </c>
      <c r="J181" s="11" t="s">
        <v>249</v>
      </c>
    </row>
    <row r="185" spans="2:12" x14ac:dyDescent="0.2">
      <c r="I185" s="4"/>
      <c r="K185" s="67"/>
      <c r="L185" s="4"/>
    </row>
    <row r="186" spans="2:12" x14ac:dyDescent="0.2">
      <c r="I186" s="4"/>
      <c r="K186" s="67"/>
      <c r="L186" s="4"/>
    </row>
    <row r="187" spans="2:12" x14ac:dyDescent="0.2">
      <c r="G187" s="60"/>
      <c r="I187" s="60"/>
      <c r="K187" s="68"/>
      <c r="L187" s="4"/>
    </row>
    <row r="188" spans="2:12" x14ac:dyDescent="0.2">
      <c r="G188" s="60"/>
      <c r="I188" s="60"/>
      <c r="K188" s="68"/>
      <c r="L188" s="4"/>
    </row>
    <row r="189" spans="2:12" x14ac:dyDescent="0.2">
      <c r="G189" s="60"/>
      <c r="L189" s="4"/>
    </row>
    <row r="190" spans="2:12" x14ac:dyDescent="0.2">
      <c r="G190" s="60"/>
    </row>
    <row r="191" spans="2:12" x14ac:dyDescent="0.2">
      <c r="G191" s="60"/>
    </row>
    <row r="192" spans="2:12" x14ac:dyDescent="0.2">
      <c r="G192" s="60"/>
      <c r="L192" s="4"/>
    </row>
    <row r="193" spans="7:7" x14ac:dyDescent="0.2">
      <c r="G193" s="60"/>
    </row>
    <row r="194" spans="7:7" x14ac:dyDescent="0.2">
      <c r="G194" s="60"/>
    </row>
    <row r="195" spans="7:7" x14ac:dyDescent="0.2">
      <c r="G195" s="60"/>
    </row>
    <row r="196" spans="7:7" x14ac:dyDescent="0.2">
      <c r="G196" s="60"/>
    </row>
    <row r="197" spans="7:7" x14ac:dyDescent="0.2">
      <c r="G197" s="60"/>
    </row>
    <row r="198" spans="7:7" x14ac:dyDescent="0.2">
      <c r="G198" s="60"/>
    </row>
    <row r="199" spans="7:7" x14ac:dyDescent="0.2">
      <c r="G199" s="60"/>
    </row>
    <row r="200" spans="7:7" x14ac:dyDescent="0.2">
      <c r="G200" s="60"/>
    </row>
    <row r="201" spans="7:7" x14ac:dyDescent="0.2">
      <c r="G201" s="60"/>
    </row>
    <row r="202" spans="7:7" x14ac:dyDescent="0.2">
      <c r="G202" s="60"/>
    </row>
    <row r="203" spans="7:7" x14ac:dyDescent="0.2">
      <c r="G203" s="60"/>
    </row>
    <row r="204" spans="7:7" x14ac:dyDescent="0.2">
      <c r="G204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847F-028B-4AFA-8841-3D16C7773D3B}">
  <dimension ref="A1:O206"/>
  <sheetViews>
    <sheetView topLeftCell="A147" zoomScaleNormal="100" workbookViewId="0">
      <selection activeCell="C161" sqref="C161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271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15000+6800+2800+200+400</f>
        <v>25200</v>
      </c>
      <c r="N10" s="29">
        <f t="shared" ref="N10:N22" si="1">L10-M10</f>
        <v>11800</v>
      </c>
      <c r="O10" s="28">
        <f>M10/$M$26</f>
        <v>1.0312095910086904E-2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>
        <f>3395+3655+2040+4065</f>
        <v>13155</v>
      </c>
      <c r="N12" s="29">
        <f t="shared" si="1"/>
        <v>17345</v>
      </c>
      <c r="O12" s="28">
        <f>M12/$M$26</f>
        <v>5.3831595911584609E-3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f>1190.19+1066.17+1152.99+1192.01+991.39</f>
        <v>5592.7500000000009</v>
      </c>
      <c r="N15" s="29">
        <f t="shared" si="1"/>
        <v>3207.2499999999991</v>
      </c>
      <c r="O15" s="28">
        <f>M15/$M$26</f>
        <v>2.2886100952832756E-3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/>
      <c r="J18" s="45"/>
      <c r="K18" s="45"/>
      <c r="L18" s="29">
        <f>C18+D18-E18+F18-G18+J18-K18</f>
        <v>3669949.52</v>
      </c>
      <c r="M18" s="29">
        <f>249709.38+249709.38+360686.22+256701.66+256701.66</f>
        <v>1373508.2999999998</v>
      </c>
      <c r="N18" s="29">
        <f t="shared" si="1"/>
        <v>2296441.2200000002</v>
      </c>
      <c r="O18" s="28">
        <f>M18/$M$26</f>
        <v>0.56205354455954026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f>463102.27+457387.6-20220.24+68514+57492.44</f>
        <v>1026276.0700000001</v>
      </c>
      <c r="N20" s="29">
        <f t="shared" si="1"/>
        <v>1659217.3299999998</v>
      </c>
      <c r="O20" s="28">
        <f>M20/$M$26</f>
        <v>0.41996258984393103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/>
      <c r="N22" s="29">
        <f t="shared" si="1"/>
        <v>50000</v>
      </c>
      <c r="O22" s="28">
        <f>M22/$M$26</f>
        <v>0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2443732.12</v>
      </c>
      <c r="N26" s="35">
        <f t="shared" si="2"/>
        <v>5814791.5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f>62454.4+62454.4+62454.4+62454.4+62454.4</f>
        <v>312272</v>
      </c>
      <c r="N31" s="29">
        <f t="shared" ref="N31:N99" si="3">L31-M31</f>
        <v>502300.04000000004</v>
      </c>
      <c r="O31" s="39">
        <f>M31/$M$138</f>
        <v>0.1524965054389901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f>1125+1125+1125+1125+1125</f>
        <v>5625</v>
      </c>
      <c r="N32" s="29">
        <f t="shared" si="3"/>
        <v>8075</v>
      </c>
      <c r="O32" s="39">
        <f>M32/$M$138</f>
        <v>2.7469412662496778E-3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f>22349+22349+22349+22349+22349</f>
        <v>111745</v>
      </c>
      <c r="N33" s="29">
        <f t="shared" si="3"/>
        <v>199355</v>
      </c>
      <c r="O33" s="39">
        <f>M33/$M$138</f>
        <v>5.4570124763923596E-2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/>
      <c r="I34" s="29"/>
      <c r="J34" s="45"/>
      <c r="K34" s="45"/>
      <c r="L34" s="29">
        <f t="shared" si="4"/>
        <v>154000</v>
      </c>
      <c r="M34" s="29">
        <f>17142.84+17142.84-0.01+17142.84+17142.84</f>
        <v>68571.349999999991</v>
      </c>
      <c r="N34" s="29">
        <f t="shared" si="3"/>
        <v>85428.650000000009</v>
      </c>
      <c r="O34" s="39">
        <f>M34/$M$138</f>
        <v>3.3486483732879969E-2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3985.95+1853.84+1927.62+3390.46</f>
        <v>11157.869999999999</v>
      </c>
      <c r="N36" s="29">
        <f t="shared" si="3"/>
        <v>23352.930000000004</v>
      </c>
      <c r="O36" s="39">
        <f t="shared" si="5"/>
        <v>5.44889129714654E-3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6663.88+7089.19+6861.69+6869.56+7025.65</f>
        <v>34509.97</v>
      </c>
      <c r="N37" s="29">
        <f t="shared" si="3"/>
        <v>52891.179999999993</v>
      </c>
      <c r="O37" s="39">
        <f t="shared" si="5"/>
        <v>1.6852775233784603E-2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624.54+664.4+643.08+643.82+658.45</f>
        <v>3234.29</v>
      </c>
      <c r="N38" s="29">
        <f t="shared" si="3"/>
        <v>4956.55</v>
      </c>
      <c r="O38" s="39">
        <f t="shared" si="5"/>
        <v>1.5794497187588746E-3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/>
      <c r="N39" s="29">
        <f t="shared" si="3"/>
        <v>67581.009999999995</v>
      </c>
      <c r="O39" s="39">
        <f t="shared" si="5"/>
        <v>0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/>
      <c r="N40" s="29">
        <f t="shared" si="3"/>
        <v>67581.009999999995</v>
      </c>
      <c r="O40" s="39">
        <f t="shared" si="5"/>
        <v>0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/>
      <c r="N41" s="29">
        <f t="shared" si="3"/>
        <v>4400</v>
      </c>
      <c r="O41" s="39">
        <f t="shared" si="5"/>
        <v>0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f>465.85+1911.83+1651.66+1641.4+1491.35</f>
        <v>7162.09</v>
      </c>
      <c r="N45" s="29">
        <f t="shared" si="3"/>
        <v>6587.91</v>
      </c>
      <c r="O45" s="39">
        <f t="shared" ref="O45:O54" si="7">M45/$M$138</f>
        <v>3.4975716575278495E-3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4700.89+616.64+610.24+619.85+608</f>
        <v>7155.6200000000008</v>
      </c>
      <c r="N46" s="29">
        <f t="shared" si="3"/>
        <v>18944.379999999997</v>
      </c>
      <c r="O46" s="39">
        <f t="shared" si="7"/>
        <v>3.4944120646402703E-3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9.9622403255988316E-4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f>15+2240+725+367.5+3705</f>
        <v>7052.5</v>
      </c>
      <c r="N49" s="29">
        <f t="shared" si="3"/>
        <v>7197.5</v>
      </c>
      <c r="O49" s="39">
        <f t="shared" si="7"/>
        <v>3.444053916484596E-3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>
        <v>378743.69</v>
      </c>
      <c r="N50" s="29">
        <f t="shared" si="3"/>
        <v>294344.77999999997</v>
      </c>
      <c r="O50" s="39">
        <f t="shared" si="7"/>
        <v>0.18495763046980895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>
        <f>7164.11+116434.25+133833.94</f>
        <v>257432.3</v>
      </c>
      <c r="N51" s="29">
        <f t="shared" si="3"/>
        <v>306310.39999999997</v>
      </c>
      <c r="O51" s="39">
        <f t="shared" si="7"/>
        <v>0.12571580589076745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/>
      <c r="I52" s="29"/>
      <c r="J52" s="45"/>
      <c r="K52" s="45"/>
      <c r="L52" s="29">
        <f>C52+D52-E52+F52-G52+H52-I52+J52-K52</f>
        <v>500985.37</v>
      </c>
      <c r="M52" s="29">
        <f>10463.32+70410.62+88302.55</f>
        <v>169176.49</v>
      </c>
      <c r="N52" s="29">
        <f t="shared" si="3"/>
        <v>331808.88</v>
      </c>
      <c r="O52" s="39">
        <f t="shared" si="7"/>
        <v>8.2616512295160163E-2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>
        <f>800+23101.17+4780</f>
        <v>28681.17</v>
      </c>
      <c r="N53" s="29">
        <f t="shared" si="3"/>
        <v>196318.83000000002</v>
      </c>
      <c r="O53" s="39">
        <f t="shared" si="7"/>
        <v>1.4006309233301735E-2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/>
      <c r="N54" s="29">
        <f t="shared" si="3"/>
        <v>75000</v>
      </c>
      <c r="O54" s="39">
        <f t="shared" si="7"/>
        <v>0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>
        <f>15000+7500+7500+7500</f>
        <v>37500</v>
      </c>
      <c r="N55" s="29">
        <f t="shared" si="3"/>
        <v>52500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>
        <v>3068.8</v>
      </c>
      <c r="N56" s="29">
        <f t="shared" si="3"/>
        <v>1331.1999999999998</v>
      </c>
      <c r="O56" s="39">
        <f t="shared" ref="O56:O61" si="8">M56/$M$138</f>
        <v>1.4986334858430243E-3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/>
      <c r="N58" s="29">
        <f t="shared" si="3"/>
        <v>7750</v>
      </c>
      <c r="O58" s="39">
        <f t="shared" si="8"/>
        <v>0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v>170.04</v>
      </c>
      <c r="N59" s="29">
        <f t="shared" si="3"/>
        <v>6829.96</v>
      </c>
      <c r="O59" s="39">
        <f t="shared" si="8"/>
        <v>8.3038203184550253E-5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v>150</v>
      </c>
      <c r="N60" s="29">
        <f t="shared" si="3"/>
        <v>13850</v>
      </c>
      <c r="O60" s="39">
        <f t="shared" si="8"/>
        <v>7.3251767099991405E-5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/>
      <c r="J63" s="45"/>
      <c r="K63" s="45"/>
      <c r="L63" s="29">
        <f t="shared" si="6"/>
        <v>115000</v>
      </c>
      <c r="M63" s="29">
        <f>30063.05+235.71+482.14+299.1</f>
        <v>31079.999999999996</v>
      </c>
      <c r="N63" s="29">
        <f t="shared" si="3"/>
        <v>83920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/>
      <c r="I64" s="29"/>
      <c r="J64" s="45"/>
      <c r="K64" s="45"/>
      <c r="L64" s="29">
        <f t="shared" si="6"/>
        <v>30750</v>
      </c>
      <c r="M64" s="29"/>
      <c r="N64" s="29">
        <f t="shared" si="3"/>
        <v>30750</v>
      </c>
      <c r="O64" s="39">
        <f t="shared" ref="O64:O79" si="9">M64/$M$138</f>
        <v>0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>
        <f>4909.09+4909.09+4909.09+4909.09</f>
        <v>19636.36</v>
      </c>
      <c r="N67" s="29">
        <f t="shared" si="3"/>
        <v>34363.64</v>
      </c>
      <c r="O67" s="39">
        <f t="shared" si="9"/>
        <v>9.5893204627439145E-3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f>4500+4500+4500+4500+4500</f>
        <v>22500</v>
      </c>
      <c r="N68" s="29">
        <f t="shared" si="3"/>
        <v>31500</v>
      </c>
      <c r="O68" s="39">
        <f t="shared" si="9"/>
        <v>1.0987765064998711E-2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/>
      <c r="N69" s="29">
        <f t="shared" si="3"/>
        <v>7500</v>
      </c>
      <c r="O69" s="39">
        <f t="shared" si="9"/>
        <v>0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f>650+840</f>
        <v>1490</v>
      </c>
      <c r="N70" s="29">
        <f t="shared" si="3"/>
        <v>23050</v>
      </c>
      <c r="O70" s="39">
        <f t="shared" si="9"/>
        <v>7.2763421985991457E-4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75279.4+121070.11+58800+3000</f>
        <v>258149.51</v>
      </c>
      <c r="N71" s="29">
        <f t="shared" si="3"/>
        <v>605150.49</v>
      </c>
      <c r="O71" s="39">
        <f t="shared" si="9"/>
        <v>0.12606605188997935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/>
      <c r="J73" s="45"/>
      <c r="K73" s="45"/>
      <c r="L73" s="29">
        <f t="shared" si="6"/>
        <v>176000</v>
      </c>
      <c r="M73" s="29"/>
      <c r="N73" s="29">
        <f t="shared" si="3"/>
        <v>176000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/>
      <c r="N74" s="29">
        <f t="shared" si="3"/>
        <v>8250</v>
      </c>
      <c r="O74" s="39">
        <f t="shared" si="9"/>
        <v>0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50.36+100.33+202.82+281.23+50.36</f>
        <v>685.1</v>
      </c>
      <c r="N75" s="29">
        <f t="shared" si="3"/>
        <v>1814.9</v>
      </c>
      <c r="O75" s="39">
        <f t="shared" si="9"/>
        <v>3.3456523760136073E-4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30+230.2+363+17298.83+13683.72</f>
        <v>31605.75</v>
      </c>
      <c r="N76" s="29">
        <f t="shared" si="3"/>
        <v>93394.25</v>
      </c>
      <c r="O76" s="39">
        <f t="shared" si="9"/>
        <v>1.5434513586803689E-2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80+273+65.5+267.5+5785</f>
        <v>6471</v>
      </c>
      <c r="N79" s="29">
        <f t="shared" si="3"/>
        <v>44529</v>
      </c>
      <c r="O79" s="39">
        <f t="shared" si="9"/>
        <v>3.160081232693629E-3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148784.1</v>
      </c>
      <c r="M83" s="29">
        <f>782.3+3384.3+2972.3+3318.7+4227.6</f>
        <v>14685.2</v>
      </c>
      <c r="N83" s="29">
        <f t="shared" si="3"/>
        <v>134098.9</v>
      </c>
      <c r="O83" s="39">
        <f t="shared" ref="O83:O119" si="11">M83/$M$138</f>
        <v>7.1714456681119592E-3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>
        <f>100+25.9</f>
        <v>125.9</v>
      </c>
      <c r="N87" s="29">
        <f t="shared" si="3"/>
        <v>4874.1000000000004</v>
      </c>
      <c r="O87" s="39">
        <f t="shared" si="11"/>
        <v>6.1482649852592791E-5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>
        <f>1260+720+1925</f>
        <v>3905</v>
      </c>
      <c r="N88" s="29">
        <f t="shared" si="3"/>
        <v>29895</v>
      </c>
      <c r="O88" s="39">
        <f t="shared" si="11"/>
        <v>1.9069876701697762E-3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f>506.3+361.55+365.5+576.56+8</f>
        <v>1817.9099999999999</v>
      </c>
      <c r="N89" s="29">
        <f t="shared" si="3"/>
        <v>3432.09</v>
      </c>
      <c r="O89" s="39">
        <f t="shared" si="11"/>
        <v>8.8776746619163578E-4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f>941.5+113+924.25+970.84+257.6</f>
        <v>3207.19</v>
      </c>
      <c r="N90" s="29">
        <f t="shared" si="3"/>
        <v>7292.8099999999995</v>
      </c>
      <c r="O90" s="39">
        <f t="shared" si="11"/>
        <v>1.5662155661694762E-3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f>69.8+860.8+22.5+20.75+493.6</f>
        <v>1467.4499999999998</v>
      </c>
      <c r="N91" s="29">
        <f t="shared" si="3"/>
        <v>1582.5500000000002</v>
      </c>
      <c r="O91" s="39">
        <f t="shared" si="11"/>
        <v>7.1662203753921586E-4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/>
      <c r="N93" s="29">
        <f t="shared" si="3"/>
        <v>5500</v>
      </c>
      <c r="O93" s="39">
        <f t="shared" si="11"/>
        <v>0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>
        <f>550+360</f>
        <v>910</v>
      </c>
      <c r="N94" s="29">
        <f t="shared" si="3"/>
        <v>1790</v>
      </c>
      <c r="O94" s="39">
        <f t="shared" si="11"/>
        <v>4.4439405373994785E-4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/>
      <c r="N95" s="29">
        <f t="shared" si="3"/>
        <v>2800</v>
      </c>
      <c r="O95" s="39">
        <f t="shared" si="11"/>
        <v>0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f>460+700+869+440+530.02</f>
        <v>2999.02</v>
      </c>
      <c r="N96" s="29">
        <f t="shared" si="3"/>
        <v>5500.98</v>
      </c>
      <c r="O96" s="39">
        <f t="shared" si="11"/>
        <v>1.4645567637881082E-3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>
        <f>62.5+745+50</f>
        <v>857.5</v>
      </c>
      <c r="N97" s="29">
        <f t="shared" si="3"/>
        <v>5142.5</v>
      </c>
      <c r="O97" s="39">
        <f t="shared" si="11"/>
        <v>4.1875593525495089E-4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f>750+1760+486+1480.13</f>
        <v>4476.13</v>
      </c>
      <c r="N98" s="29">
        <f t="shared" si="3"/>
        <v>13023.869999999999</v>
      </c>
      <c r="O98" s="39">
        <f t="shared" si="11"/>
        <v>2.1858962151285635E-3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f>198.75+81+243.4+6481.27</f>
        <v>7004.42</v>
      </c>
      <c r="N99" s="29">
        <f t="shared" si="3"/>
        <v>-4004.42</v>
      </c>
      <c r="O99" s="39">
        <f t="shared" si="11"/>
        <v>3.4205742834034786E-3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f>139+605.62</f>
        <v>744.62</v>
      </c>
      <c r="N100" s="29">
        <f t="shared" ref="N100:N137" si="12">L100-M100</f>
        <v>755.38</v>
      </c>
      <c r="O100" s="39">
        <f t="shared" si="11"/>
        <v>3.6363153878663732E-4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/>
      <c r="I101" s="29"/>
      <c r="J101" s="45"/>
      <c r="K101" s="45"/>
      <c r="L101" s="29">
        <f t="shared" si="10"/>
        <v>331653.07999999996</v>
      </c>
      <c r="M101" s="29">
        <v>69156.28</v>
      </c>
      <c r="N101" s="29">
        <f t="shared" si="12"/>
        <v>262496.79999999993</v>
      </c>
      <c r="O101" s="39">
        <f t="shared" si="11"/>
        <v>3.3772131440411954E-2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>
        <v>581</v>
      </c>
      <c r="N104" s="29">
        <f t="shared" si="12"/>
        <v>919</v>
      </c>
      <c r="O104" s="39">
        <f t="shared" si="11"/>
        <v>2.8372851123396669E-4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>
        <v>12793.34</v>
      </c>
      <c r="N106" s="29">
        <f t="shared" si="12"/>
        <v>-12043.34</v>
      </c>
      <c r="O106" s="39">
        <f t="shared" si="11"/>
        <v>6.2475650807400267E-3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>
        <f>252.58+2571.75</f>
        <v>2824.33</v>
      </c>
      <c r="N108" s="29">
        <f t="shared" si="12"/>
        <v>1975.67</v>
      </c>
      <c r="O108" s="39">
        <f t="shared" si="11"/>
        <v>1.3792477558234582E-3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>
        <f>3725+6961.98+31274.47</f>
        <v>41961.45</v>
      </c>
      <c r="N109" s="29">
        <f t="shared" si="12"/>
        <v>-13161.449999999997</v>
      </c>
      <c r="O109" s="39">
        <f t="shared" si="11"/>
        <v>2.0491669083852894E-2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/>
      <c r="J110" s="45"/>
      <c r="K110" s="45"/>
      <c r="L110" s="29">
        <f t="shared" si="10"/>
        <v>1150000</v>
      </c>
      <c r="M110" s="29">
        <v>7000</v>
      </c>
      <c r="N110" s="29">
        <f t="shared" si="12"/>
        <v>1143000</v>
      </c>
      <c r="O110" s="39">
        <f t="shared" si="11"/>
        <v>3.4184157979995989E-3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f>98+23.07</f>
        <v>121.07</v>
      </c>
      <c r="N111" s="29">
        <f t="shared" si="12"/>
        <v>1378.93</v>
      </c>
      <c r="O111" s="39">
        <f t="shared" si="11"/>
        <v>5.9123942951973058E-5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f>150.8+236.6+203.5+101.05+185.2</f>
        <v>877.14999999999986</v>
      </c>
      <c r="N113" s="29">
        <f t="shared" si="12"/>
        <v>5722.85</v>
      </c>
      <c r="O113" s="39">
        <f t="shared" si="11"/>
        <v>4.2835191674504966E-4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>
        <f>62.64+157.34+62.55</f>
        <v>282.53000000000003</v>
      </c>
      <c r="N114" s="29">
        <f t="shared" si="12"/>
        <v>3717.47</v>
      </c>
      <c r="O114" s="39">
        <f t="shared" si="11"/>
        <v>1.3797214505840383E-4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>
        <v>4500</v>
      </c>
      <c r="N115" s="29">
        <f t="shared" si="12"/>
        <v>20751.900000000001</v>
      </c>
      <c r="O115" s="39">
        <f t="shared" si="11"/>
        <v>2.197553012999742E-3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>
        <f>46+262+10940.08</f>
        <v>11248.08</v>
      </c>
      <c r="N117" s="29">
        <f t="shared" si="12"/>
        <v>-1748.08</v>
      </c>
      <c r="O117" s="39">
        <f t="shared" si="11"/>
        <v>5.4929449098804753E-3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>
        <v>101</v>
      </c>
      <c r="N118" s="29">
        <f t="shared" si="12"/>
        <v>75899</v>
      </c>
      <c r="O118" s="39">
        <f t="shared" si="11"/>
        <v>4.932285651399421E-5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f>287+760.6+2770.11+247.15+1712.08-0.01</f>
        <v>5776.93</v>
      </c>
      <c r="N119" s="29">
        <f t="shared" si="12"/>
        <v>3723.0699999999997</v>
      </c>
      <c r="O119" s="39">
        <f t="shared" si="11"/>
        <v>2.8211355394196893E-3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/>
      <c r="N124" s="29">
        <f t="shared" si="12"/>
        <v>10000</v>
      </c>
      <c r="O124" s="39">
        <f>M124/$M$138</f>
        <v>0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>
        <v>14992</v>
      </c>
      <c r="N128" s="29">
        <f t="shared" si="12"/>
        <v>25008</v>
      </c>
      <c r="O128" s="39">
        <f>+M128/M138</f>
        <v>7.3212699490871405E-3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>
        <v>6290</v>
      </c>
      <c r="N129" s="29">
        <f t="shared" si="12"/>
        <v>8010</v>
      </c>
      <c r="O129" s="39">
        <f>M129/$M$138</f>
        <v>3.0716907670596395E-3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/>
      <c r="N134" s="29">
        <f t="shared" si="12"/>
        <v>185900</v>
      </c>
      <c r="O134" s="39">
        <f>M134/$M$138</f>
        <v>0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/>
      <c r="N135" s="29">
        <f t="shared" si="12"/>
        <v>7170</v>
      </c>
      <c r="O135" s="39">
        <f>M135/$M$138</f>
        <v>0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f>750+1500+1500+1500+1500</f>
        <v>6750</v>
      </c>
      <c r="N136" s="29">
        <f t="shared" si="12"/>
        <v>63250</v>
      </c>
      <c r="O136" s="39">
        <f>M136/$M$138</f>
        <v>3.2963295194996132E-3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>
        <f>3210.77</f>
        <v>3210.77</v>
      </c>
      <c r="N137" s="29">
        <f t="shared" si="12"/>
        <v>5539.23</v>
      </c>
      <c r="O137" s="39">
        <f>M137/$M$138</f>
        <v>1.567963841677596E-3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428653.07999999996</v>
      </c>
      <c r="E138" s="35">
        <f t="shared" si="14"/>
        <v>0</v>
      </c>
      <c r="F138" s="35">
        <f t="shared" si="14"/>
        <v>992800</v>
      </c>
      <c r="G138" s="35">
        <f t="shared" si="14"/>
        <v>992800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>SUM(L31:L137)</f>
        <v>8258523.6200000001</v>
      </c>
      <c r="M138" s="35">
        <f>SUM(M31:M137)</f>
        <v>2047732.17</v>
      </c>
      <c r="N138" s="35">
        <f t="shared" si="14"/>
        <v>6210791.4500000002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2443732.12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-2047732.17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2432636.7700000005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ht="12" customHeight="1" x14ac:dyDescent="0.2">
      <c r="A157" s="55" t="s">
        <v>269</v>
      </c>
      <c r="B157" s="53"/>
      <c r="C157" s="70">
        <f>235.71+482.14</f>
        <v>717.85</v>
      </c>
      <c r="D157" s="4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152</v>
      </c>
      <c r="B158" s="53"/>
      <c r="C158" s="70">
        <f>7025.65+3180.3+658.45</f>
        <v>10864.400000000001</v>
      </c>
      <c r="D158" s="80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151</v>
      </c>
      <c r="B159" s="53"/>
      <c r="C159" s="70">
        <v>1993.24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150</v>
      </c>
      <c r="B160" s="53"/>
      <c r="C160" s="70">
        <f>20132.17+299.1</f>
        <v>20431.269999999997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270</v>
      </c>
      <c r="B161" s="53"/>
      <c r="C161" s="70">
        <v>-15</v>
      </c>
      <c r="D161" s="81"/>
      <c r="E161" s="4"/>
      <c r="F161" s="4"/>
      <c r="G161" s="4"/>
      <c r="H161" s="4"/>
      <c r="I161" s="4"/>
      <c r="J161" s="67"/>
      <c r="K161" s="67"/>
      <c r="L161" s="4"/>
    </row>
    <row r="162" spans="1:13" x14ac:dyDescent="0.2">
      <c r="A162" s="55" t="s">
        <v>237</v>
      </c>
      <c r="B162" s="53"/>
      <c r="C162" s="70">
        <v>-0.01</v>
      </c>
      <c r="D162" s="81"/>
      <c r="E162" s="4"/>
      <c r="F162" s="4"/>
      <c r="G162" s="4"/>
      <c r="H162" s="4"/>
      <c r="I162" s="4"/>
      <c r="J162" s="67"/>
      <c r="K162" s="67"/>
      <c r="L162" s="4"/>
    </row>
    <row r="163" spans="1:13" x14ac:dyDescent="0.2">
      <c r="A163" s="55" t="s">
        <v>268</v>
      </c>
      <c r="B163" s="53"/>
      <c r="C163" s="70">
        <v>-395.51</v>
      </c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1"/>
      <c r="D164" s="82"/>
      <c r="E164" s="83"/>
      <c r="F164" s="4"/>
      <c r="G164" s="4"/>
      <c r="H164" s="4"/>
      <c r="I164" s="4"/>
      <c r="J164" s="67"/>
      <c r="K164" s="67"/>
      <c r="L164" s="4"/>
    </row>
    <row r="165" spans="1:13" ht="15.75" x14ac:dyDescent="0.25">
      <c r="A165" s="56"/>
      <c r="B165" s="57"/>
      <c r="C165" s="72">
        <f>SUM(C155:C164)</f>
        <v>33918.239999999991</v>
      </c>
      <c r="D165" s="82"/>
      <c r="E165" s="83"/>
      <c r="F165" s="4"/>
      <c r="G165" s="4"/>
      <c r="H165" s="4"/>
      <c r="I165" s="4"/>
      <c r="J165" s="67"/>
      <c r="K165" s="67"/>
      <c r="L165" s="4"/>
    </row>
    <row r="166" spans="1:13" ht="2.1" customHeight="1" x14ac:dyDescent="0.25">
      <c r="A166" s="56"/>
      <c r="B166" s="57"/>
      <c r="C166" s="73"/>
      <c r="D166" s="81"/>
      <c r="E166" s="4"/>
      <c r="F166" s="4"/>
      <c r="G166" s="4"/>
      <c r="H166" s="4"/>
      <c r="I166" s="4"/>
      <c r="J166" s="67"/>
      <c r="K166" s="67"/>
      <c r="L166" s="4"/>
    </row>
    <row r="167" spans="1:13" x14ac:dyDescent="0.2">
      <c r="A167" s="55"/>
      <c r="B167" s="53"/>
      <c r="C167" s="70"/>
      <c r="D167" s="81"/>
      <c r="E167" s="4"/>
      <c r="F167" s="4"/>
      <c r="G167" s="4"/>
      <c r="H167" s="4"/>
      <c r="I167" s="4"/>
      <c r="J167" s="67"/>
      <c r="K167" s="67"/>
      <c r="L167" s="4"/>
    </row>
    <row r="168" spans="1:13" ht="2.1" customHeight="1" thickBot="1" x14ac:dyDescent="0.3">
      <c r="A168" s="58" t="s">
        <v>244</v>
      </c>
      <c r="B168" s="59"/>
      <c r="C168" s="69">
        <f>C152+C165</f>
        <v>2466555.0100000007</v>
      </c>
      <c r="D168" s="80"/>
      <c r="E168" s="4"/>
      <c r="F168" s="4"/>
      <c r="G168" s="4"/>
      <c r="H168" s="4"/>
      <c r="I168" s="4"/>
      <c r="J168" s="67"/>
      <c r="K168" s="67"/>
      <c r="L168" s="4"/>
    </row>
    <row r="169" spans="1:13" ht="9.9499999999999993" customHeight="1" x14ac:dyDescent="0.2">
      <c r="A169" s="55"/>
      <c r="B169" s="53"/>
      <c r="C169" s="70"/>
      <c r="D169" s="80"/>
      <c r="E169" s="4"/>
      <c r="F169" s="4"/>
      <c r="G169" s="4"/>
      <c r="H169" s="4"/>
      <c r="I169" s="4"/>
      <c r="J169" s="67"/>
      <c r="K169" s="67"/>
      <c r="L169" s="4"/>
    </row>
    <row r="170" spans="1:13" ht="16.5" thickBot="1" x14ac:dyDescent="0.3">
      <c r="A170" s="58" t="s">
        <v>272</v>
      </c>
      <c r="B170" s="59"/>
      <c r="C170" s="69">
        <f>C152+C165</f>
        <v>2466555.0100000007</v>
      </c>
      <c r="D170" s="82"/>
      <c r="E170" s="4"/>
      <c r="F170" s="4"/>
      <c r="G170" s="4"/>
      <c r="H170" s="4"/>
      <c r="I170" s="4"/>
      <c r="J170" s="67"/>
      <c r="K170" s="67"/>
      <c r="L170" s="4"/>
      <c r="M170" s="4"/>
    </row>
    <row r="171" spans="1:13" x14ac:dyDescent="0.2">
      <c r="A171" s="53"/>
      <c r="C171" s="4"/>
      <c r="D171" s="4"/>
      <c r="E171" s="4"/>
      <c r="F171" s="4"/>
      <c r="G171" s="4"/>
      <c r="H171" s="4"/>
      <c r="I171" s="4"/>
      <c r="J171" s="67"/>
      <c r="K171" s="67"/>
      <c r="L171" s="4"/>
    </row>
    <row r="172" spans="1:13" x14ac:dyDescent="0.2">
      <c r="C172" s="4"/>
      <c r="D172" s="4"/>
      <c r="E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67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C182" s="13" t="s">
        <v>231</v>
      </c>
      <c r="G182" s="11" t="s">
        <v>264</v>
      </c>
      <c r="J182" s="13" t="s">
        <v>240</v>
      </c>
      <c r="K182" s="75"/>
    </row>
    <row r="183" spans="2:12" x14ac:dyDescent="0.2">
      <c r="B183" s="11" t="s">
        <v>90</v>
      </c>
      <c r="C183" s="13" t="s">
        <v>91</v>
      </c>
      <c r="G183" s="11" t="s">
        <v>265</v>
      </c>
      <c r="J183" s="11" t="s">
        <v>249</v>
      </c>
    </row>
    <row r="187" spans="2:12" x14ac:dyDescent="0.2">
      <c r="I187" s="4"/>
      <c r="K187" s="67"/>
      <c r="L187" s="4"/>
    </row>
    <row r="188" spans="2:12" x14ac:dyDescent="0.2">
      <c r="I188" s="4"/>
      <c r="K188" s="67"/>
      <c r="L188" s="4"/>
    </row>
    <row r="189" spans="2:12" x14ac:dyDescent="0.2">
      <c r="G189" s="60"/>
      <c r="I189" s="60"/>
      <c r="K189" s="68"/>
      <c r="L189" s="4"/>
    </row>
    <row r="190" spans="2:12" x14ac:dyDescent="0.2">
      <c r="G190" s="60"/>
      <c r="I190" s="60"/>
      <c r="K190" s="68"/>
      <c r="L190" s="4"/>
    </row>
    <row r="191" spans="2:12" x14ac:dyDescent="0.2">
      <c r="G191" s="60"/>
      <c r="L191" s="4"/>
    </row>
    <row r="192" spans="2:12" x14ac:dyDescent="0.2">
      <c r="G192" s="60"/>
    </row>
    <row r="193" spans="7:12" x14ac:dyDescent="0.2">
      <c r="G193" s="60"/>
    </row>
    <row r="194" spans="7:12" x14ac:dyDescent="0.2">
      <c r="G194" s="60"/>
      <c r="L194" s="4"/>
    </row>
    <row r="195" spans="7:12" x14ac:dyDescent="0.2">
      <c r="G195" s="60"/>
    </row>
    <row r="196" spans="7:12" x14ac:dyDescent="0.2">
      <c r="G196" s="60"/>
    </row>
    <row r="197" spans="7:12" x14ac:dyDescent="0.2">
      <c r="G197" s="60"/>
    </row>
    <row r="198" spans="7:12" x14ac:dyDescent="0.2">
      <c r="G198" s="60"/>
    </row>
    <row r="199" spans="7:12" x14ac:dyDescent="0.2">
      <c r="G199" s="60"/>
    </row>
    <row r="200" spans="7:12" x14ac:dyDescent="0.2">
      <c r="G200" s="60"/>
    </row>
    <row r="201" spans="7:12" x14ac:dyDescent="0.2">
      <c r="G201" s="60"/>
    </row>
    <row r="202" spans="7:12" x14ac:dyDescent="0.2">
      <c r="G202" s="60"/>
    </row>
    <row r="203" spans="7:12" x14ac:dyDescent="0.2">
      <c r="G203" s="60"/>
    </row>
    <row r="204" spans="7:12" x14ac:dyDescent="0.2">
      <c r="G204" s="60"/>
    </row>
    <row r="205" spans="7:12" x14ac:dyDescent="0.2">
      <c r="G205" s="60"/>
    </row>
    <row r="206" spans="7:12" x14ac:dyDescent="0.2">
      <c r="G206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66B7-6C4E-47D4-AC0B-0000CB52897D}">
  <dimension ref="A1:O206"/>
  <sheetViews>
    <sheetView topLeftCell="A89" zoomScaleNormal="100" workbookViewId="0">
      <selection activeCell="A100" sqref="A100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273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15000+6800+2800+200+400+400</f>
        <v>25600</v>
      </c>
      <c r="N10" s="29">
        <f t="shared" ref="N10:N22" si="1">L10-M10</f>
        <v>11400</v>
      </c>
      <c r="O10" s="28">
        <f>M10/$M$26</f>
        <v>9.2452596529187248E-3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>
        <f>3395+3655+2040+4065+3690</f>
        <v>16845</v>
      </c>
      <c r="N12" s="29">
        <f t="shared" si="1"/>
        <v>13655</v>
      </c>
      <c r="O12" s="28">
        <f>M12/$M$26</f>
        <v>6.0834530802115587E-3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f>1190.19+1066.17+1152.99+1192.01+991.39+751.35</f>
        <v>6344.1000000000013</v>
      </c>
      <c r="N15" s="29">
        <f t="shared" si="1"/>
        <v>2455.8999999999987</v>
      </c>
      <c r="O15" s="28">
        <f>M15/$M$26</f>
        <v>2.2911270220344411E-3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/>
      <c r="J18" s="45"/>
      <c r="K18" s="45"/>
      <c r="L18" s="29">
        <f>C18+D18-E18+F18-G18+J18-K18</f>
        <v>3669949.52</v>
      </c>
      <c r="M18" s="29">
        <f>249709.38+249709.38+360686.22+256701.66+256701.66+256701.66</f>
        <v>1630209.9599999997</v>
      </c>
      <c r="N18" s="29">
        <f t="shared" si="1"/>
        <v>2039739.5600000003</v>
      </c>
      <c r="O18" s="28">
        <f>M18/$M$26</f>
        <v>0.58873884253805642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f>463102.27+457387.6-20220.24+68514+57492.44+40714</f>
        <v>1066990.07</v>
      </c>
      <c r="N20" s="29">
        <f t="shared" si="1"/>
        <v>1618503.3299999998</v>
      </c>
      <c r="O20" s="28">
        <f>M20/$M$26</f>
        <v>0.38533594704046586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>
        <v>22997.46</v>
      </c>
      <c r="N22" s="29">
        <f t="shared" si="1"/>
        <v>27002.54</v>
      </c>
      <c r="O22" s="28">
        <f>M22/$M$26</f>
        <v>8.3053706663129782E-3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2768986.59</v>
      </c>
      <c r="N26" s="35">
        <f t="shared" si="2"/>
        <v>5489537.0300000003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f>62454.4+62454.4+62454.4+62454.4+62454.4+62454.4</f>
        <v>374726.40000000002</v>
      </c>
      <c r="N31" s="29">
        <f t="shared" ref="N31:N99" si="3">L31-M31</f>
        <v>439845.64</v>
      </c>
      <c r="O31" s="39">
        <f>M31/$M$138</f>
        <v>0.14682188165985444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f>1125+1125+1125+1125+1125+1125</f>
        <v>6750</v>
      </c>
      <c r="N32" s="29">
        <f t="shared" si="3"/>
        <v>6950</v>
      </c>
      <c r="O32" s="39">
        <f>M32/$M$138</f>
        <v>2.6447234601138787E-3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f>22349+22349+22349+22349+22349+22349</f>
        <v>134094</v>
      </c>
      <c r="N33" s="29">
        <f t="shared" si="3"/>
        <v>177006</v>
      </c>
      <c r="O33" s="39">
        <f>M33/$M$138</f>
        <v>5.2539488542297841E-2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/>
      <c r="I34" s="29"/>
      <c r="J34" s="45"/>
      <c r="K34" s="45"/>
      <c r="L34" s="29">
        <f t="shared" si="4"/>
        <v>154000</v>
      </c>
      <c r="M34" s="29">
        <f>17142.84+17142.84-0.01+17142.84+17142.84+17142.84</f>
        <v>85714.189999999988</v>
      </c>
      <c r="N34" s="29">
        <f t="shared" si="3"/>
        <v>68285.810000000012</v>
      </c>
      <c r="O34" s="39">
        <f>M34/$M$138</f>
        <v>3.3583752467801244E-2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3985.95+1853.84+1927.62+3390.46+5053.81</f>
        <v>16211.68</v>
      </c>
      <c r="N36" s="29">
        <f t="shared" si="3"/>
        <v>18299.120000000003</v>
      </c>
      <c r="O36" s="39">
        <f t="shared" si="5"/>
        <v>6.3519126553865136E-3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6663.88+7089.19+6861.69+6869.56+7025.65+7203.13</f>
        <v>41713.1</v>
      </c>
      <c r="N37" s="29">
        <f t="shared" si="3"/>
        <v>45688.049999999996</v>
      </c>
      <c r="O37" s="39">
        <f t="shared" si="5"/>
        <v>1.6343646542826107E-2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624.54+664.4+643.08+643.82+658.45+675.08</f>
        <v>3909.37</v>
      </c>
      <c r="N38" s="29">
        <f t="shared" si="3"/>
        <v>4281.47</v>
      </c>
      <c r="O38" s="39">
        <f t="shared" si="5"/>
        <v>1.5317337115948731E-3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/>
      <c r="N39" s="29">
        <f t="shared" si="3"/>
        <v>67581.009999999995</v>
      </c>
      <c r="O39" s="39">
        <f t="shared" si="5"/>
        <v>0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/>
      <c r="N40" s="29">
        <f t="shared" si="3"/>
        <v>67581.009999999995</v>
      </c>
      <c r="O40" s="39">
        <f t="shared" si="5"/>
        <v>0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/>
      <c r="N41" s="29">
        <f t="shared" si="3"/>
        <v>4400</v>
      </c>
      <c r="O41" s="39">
        <f t="shared" si="5"/>
        <v>0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f>465.85+1911.83+1651.66+1641.4+1491.35+1597.4</f>
        <v>8759.49</v>
      </c>
      <c r="N45" s="29">
        <f t="shared" si="3"/>
        <v>4990.51</v>
      </c>
      <c r="O45" s="39">
        <f t="shared" ref="O45:O54" si="7">M45/$M$138</f>
        <v>3.432063511353025E-3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4700.89+616.64+610.24+619.85+608+631.42</f>
        <v>7787.0400000000009</v>
      </c>
      <c r="N46" s="29">
        <f t="shared" si="3"/>
        <v>18312.96</v>
      </c>
      <c r="O46" s="39">
        <f t="shared" si="7"/>
        <v>3.0510470181992861E-3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7.9929420127886107E-4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f>15+2240+725+367.5+3705+36</f>
        <v>7088.5</v>
      </c>
      <c r="N49" s="29">
        <f t="shared" si="3"/>
        <v>7161.5</v>
      </c>
      <c r="O49" s="39">
        <f t="shared" si="7"/>
        <v>2.7773514440025526E-3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>
        <f>378743.69</f>
        <v>378743.69</v>
      </c>
      <c r="N50" s="29">
        <f t="shared" si="3"/>
        <v>294344.77999999997</v>
      </c>
      <c r="O50" s="39">
        <f t="shared" si="7"/>
        <v>0.14839589960194047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>
        <f>7164.11+116434.25+133833.94+5432.58</f>
        <v>262864.88</v>
      </c>
      <c r="N51" s="29">
        <f t="shared" si="3"/>
        <v>300877.81999999995</v>
      </c>
      <c r="O51" s="39">
        <f t="shared" si="7"/>
        <v>0.10299332073718807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/>
      <c r="I52" s="29"/>
      <c r="J52" s="45"/>
      <c r="K52" s="45"/>
      <c r="L52" s="29">
        <f>C52+D52-E52+F52-G52+H52-I52+J52-K52</f>
        <v>500985.37</v>
      </c>
      <c r="M52" s="29">
        <f>10463.32+70410.62+88302.55+40613.73</f>
        <v>209790.22</v>
      </c>
      <c r="N52" s="29">
        <f t="shared" si="3"/>
        <v>291195.15000000002</v>
      </c>
      <c r="O52" s="39">
        <f t="shared" si="7"/>
        <v>8.2198091338733612E-2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>
        <f>800+23101.17+4780</f>
        <v>28681.17</v>
      </c>
      <c r="N53" s="29">
        <f t="shared" si="3"/>
        <v>196318.83000000002</v>
      </c>
      <c r="O53" s="39">
        <f t="shared" si="7"/>
        <v>1.1237594542594721E-2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>
        <v>219</v>
      </c>
      <c r="N54" s="29">
        <f t="shared" si="3"/>
        <v>74781</v>
      </c>
      <c r="O54" s="39">
        <f t="shared" si="7"/>
        <v>8.5806583372583623E-5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>
        <f>15000+7500+7500+7500+7500</f>
        <v>45000</v>
      </c>
      <c r="N55" s="29">
        <f t="shared" si="3"/>
        <v>45000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>
        <v>3068.8</v>
      </c>
      <c r="N56" s="29">
        <f t="shared" si="3"/>
        <v>1331.1999999999998</v>
      </c>
      <c r="O56" s="39">
        <f t="shared" ref="O56:O61" si="8">M56/$M$138</f>
        <v>1.2023892376885144E-3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/>
      <c r="N58" s="29">
        <f t="shared" si="3"/>
        <v>7750</v>
      </c>
      <c r="O58" s="39">
        <f t="shared" si="8"/>
        <v>0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v>170.04</v>
      </c>
      <c r="N59" s="29">
        <f t="shared" si="3"/>
        <v>6829.96</v>
      </c>
      <c r="O59" s="39">
        <f t="shared" si="8"/>
        <v>6.6623522541890944E-5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v>150</v>
      </c>
      <c r="N60" s="29">
        <f t="shared" si="3"/>
        <v>13850</v>
      </c>
      <c r="O60" s="39">
        <f t="shared" si="8"/>
        <v>5.8771632446975084E-5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/>
      <c r="J63" s="45"/>
      <c r="K63" s="45"/>
      <c r="L63" s="29">
        <f t="shared" si="6"/>
        <v>115000</v>
      </c>
      <c r="M63" s="29">
        <f>30063.05+235.71+482.14</f>
        <v>30780.899999999998</v>
      </c>
      <c r="N63" s="29">
        <f t="shared" si="3"/>
        <v>84219.1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/>
      <c r="I64" s="29"/>
      <c r="J64" s="45"/>
      <c r="K64" s="45"/>
      <c r="L64" s="29">
        <f t="shared" si="6"/>
        <v>30750</v>
      </c>
      <c r="M64" s="29"/>
      <c r="N64" s="29">
        <f t="shared" si="3"/>
        <v>30750</v>
      </c>
      <c r="O64" s="39">
        <f t="shared" ref="O64:O79" si="9">M64/$M$138</f>
        <v>0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>
        <f>4909.09+4909.09+4909.09+4909.09+4909.09</f>
        <v>24545.45</v>
      </c>
      <c r="N67" s="29">
        <f t="shared" si="3"/>
        <v>29454.55</v>
      </c>
      <c r="O67" s="39">
        <f t="shared" si="9"/>
        <v>9.617174437637363E-3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f>4500+4500+4500+4500+4500+4500</f>
        <v>27000</v>
      </c>
      <c r="N68" s="29">
        <f t="shared" si="3"/>
        <v>27000</v>
      </c>
      <c r="O68" s="39">
        <f t="shared" si="9"/>
        <v>1.0578893840455515E-2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/>
      <c r="N69" s="29">
        <f t="shared" si="3"/>
        <v>7500</v>
      </c>
      <c r="O69" s="39">
        <f t="shared" si="9"/>
        <v>0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f>650+840</f>
        <v>1490</v>
      </c>
      <c r="N70" s="29">
        <f t="shared" si="3"/>
        <v>23050</v>
      </c>
      <c r="O70" s="39">
        <f t="shared" si="9"/>
        <v>5.8379821563995246E-4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75279.4+121070.11+58800+3000+172041.02</f>
        <v>430190.53</v>
      </c>
      <c r="N71" s="29">
        <f t="shared" si="3"/>
        <v>433109.47</v>
      </c>
      <c r="O71" s="39">
        <f t="shared" si="9"/>
        <v>0.16855333140886272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/>
      <c r="J73" s="45"/>
      <c r="K73" s="45"/>
      <c r="L73" s="29">
        <f t="shared" si="6"/>
        <v>176000</v>
      </c>
      <c r="M73" s="29"/>
      <c r="N73" s="29">
        <f t="shared" si="3"/>
        <v>176000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/>
      <c r="N74" s="29">
        <f t="shared" si="3"/>
        <v>8250</v>
      </c>
      <c r="O74" s="39">
        <f t="shared" si="9"/>
        <v>0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50.36+100.33+202.82+281.23+50.36+132.24</f>
        <v>817.34</v>
      </c>
      <c r="N75" s="29">
        <f t="shared" si="3"/>
        <v>1682.6599999999999</v>
      </c>
      <c r="O75" s="39">
        <f t="shared" si="9"/>
        <v>3.2024270709473746E-4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30+230.2+363+17298.83+13683.72+929.7</f>
        <v>32535.45</v>
      </c>
      <c r="N76" s="29">
        <f t="shared" si="3"/>
        <v>92464.55</v>
      </c>
      <c r="O76" s="39">
        <f t="shared" si="9"/>
        <v>1.2747743392646236E-2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80+273+65.5+267.5+5785+14270.56</f>
        <v>20741.559999999998</v>
      </c>
      <c r="N79" s="29">
        <f t="shared" si="3"/>
        <v>30258.440000000002</v>
      </c>
      <c r="O79" s="39">
        <f t="shared" si="9"/>
        <v>8.1267689379792025E-3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148784.1</v>
      </c>
      <c r="M83" s="29">
        <f>782.3+3384.3+2972.3+3318.7+4227.6+2430</f>
        <v>17115.2</v>
      </c>
      <c r="N83" s="29">
        <f t="shared" si="3"/>
        <v>131668.9</v>
      </c>
      <c r="O83" s="39">
        <f t="shared" ref="O83:O119" si="11">M83/$M$138</f>
        <v>6.7059216243764534E-3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>
        <f>100+25.9</f>
        <v>125.9</v>
      </c>
      <c r="N87" s="29">
        <f t="shared" si="3"/>
        <v>4874.1000000000004</v>
      </c>
      <c r="O87" s="39">
        <f t="shared" si="11"/>
        <v>4.9328990167161086E-5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>
        <f>1260+720+1925+8881.6</f>
        <v>12786.6</v>
      </c>
      <c r="N88" s="29">
        <f t="shared" si="3"/>
        <v>21013.4</v>
      </c>
      <c r="O88" s="39">
        <f t="shared" si="11"/>
        <v>5.0099290363099444E-3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f>506.3+361.55+365.5+576.56+8+434</f>
        <v>2251.91</v>
      </c>
      <c r="N89" s="29">
        <f t="shared" si="3"/>
        <v>2998.09</v>
      </c>
      <c r="O89" s="39">
        <f t="shared" si="11"/>
        <v>8.823228454911176E-4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f>941.5+113+924.25+970.84+257.6+1032.74</f>
        <v>4239.93</v>
      </c>
      <c r="N90" s="29">
        <f t="shared" si="3"/>
        <v>6260.07</v>
      </c>
      <c r="O90" s="39">
        <f t="shared" si="11"/>
        <v>1.6612507170726872E-3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f>69.8+860.8+22.5+20.75+493.6</f>
        <v>1467.4499999999998</v>
      </c>
      <c r="N91" s="29">
        <f t="shared" si="3"/>
        <v>1582.5500000000002</v>
      </c>
      <c r="O91" s="39">
        <f t="shared" si="11"/>
        <v>5.7496288022875711E-4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/>
      <c r="N93" s="29">
        <f t="shared" si="3"/>
        <v>5500</v>
      </c>
      <c r="O93" s="39">
        <f t="shared" si="11"/>
        <v>0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>
        <f>550+360</f>
        <v>910</v>
      </c>
      <c r="N94" s="29">
        <f t="shared" si="3"/>
        <v>1790</v>
      </c>
      <c r="O94" s="39">
        <f t="shared" si="11"/>
        <v>3.5654790351164883E-4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/>
      <c r="N95" s="29">
        <f t="shared" si="3"/>
        <v>2800</v>
      </c>
      <c r="O95" s="39">
        <f t="shared" si="11"/>
        <v>0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f>460+700+869+440+530.02+1265.41</f>
        <v>4264.43</v>
      </c>
      <c r="N96" s="29">
        <f t="shared" si="3"/>
        <v>4235.57</v>
      </c>
      <c r="O96" s="39">
        <f t="shared" si="11"/>
        <v>1.6708500837056932E-3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>
        <f>62.5+745+50</f>
        <v>857.5</v>
      </c>
      <c r="N97" s="29">
        <f t="shared" si="3"/>
        <v>5142.5</v>
      </c>
      <c r="O97" s="39">
        <f t="shared" si="11"/>
        <v>3.3597783215520753E-4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f>750+1760+486+1480.13</f>
        <v>4476.13</v>
      </c>
      <c r="N98" s="29">
        <f t="shared" si="3"/>
        <v>13023.869999999999</v>
      </c>
      <c r="O98" s="39">
        <f t="shared" si="11"/>
        <v>1.7537964476325239E-3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f>198.75+81+243.4+6481.27+451.44</f>
        <v>7455.86</v>
      </c>
      <c r="N99" s="29">
        <f t="shared" si="3"/>
        <v>-4455.8599999999997</v>
      </c>
      <c r="O99" s="39">
        <f t="shared" si="11"/>
        <v>2.9212870899740242E-3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f>139+605.62+27</f>
        <v>771.62</v>
      </c>
      <c r="N100" s="29">
        <f t="shared" ref="N100:N137" si="12">L100-M100</f>
        <v>728.38</v>
      </c>
      <c r="O100" s="39">
        <f t="shared" si="11"/>
        <v>3.0232911352489944E-4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/>
      <c r="I101" s="29"/>
      <c r="J101" s="45"/>
      <c r="K101" s="45"/>
      <c r="L101" s="29">
        <f t="shared" si="10"/>
        <v>331653.07999999996</v>
      </c>
      <c r="M101" s="29">
        <f>69156.28+114221.15</f>
        <v>183377.43</v>
      </c>
      <c r="N101" s="29">
        <f t="shared" si="12"/>
        <v>148275.64999999997</v>
      </c>
      <c r="O101" s="39">
        <f t="shared" si="11"/>
        <v>7.1849272766872682E-2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>
        <v>581</v>
      </c>
      <c r="N104" s="29">
        <f t="shared" si="12"/>
        <v>919</v>
      </c>
      <c r="O104" s="39">
        <f t="shared" si="11"/>
        <v>2.2764212301128349E-4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>
        <v>12793.34</v>
      </c>
      <c r="N106" s="29">
        <f t="shared" si="12"/>
        <v>-12043.34</v>
      </c>
      <c r="O106" s="39">
        <f t="shared" si="11"/>
        <v>5.0125698416612283E-3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>
        <f>252.58+2571.75+376.13</f>
        <v>3200.46</v>
      </c>
      <c r="N108" s="29">
        <f t="shared" si="12"/>
        <v>1599.54</v>
      </c>
      <c r="O108" s="39">
        <f t="shared" si="11"/>
        <v>1.253975058541639E-3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>
        <f>3725+6961.98+31274.47</f>
        <v>41961.45</v>
      </c>
      <c r="N109" s="29">
        <f t="shared" si="12"/>
        <v>-13161.449999999997</v>
      </c>
      <c r="O109" s="39">
        <f t="shared" si="11"/>
        <v>1.6440952775614148E-2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/>
      <c r="J110" s="45"/>
      <c r="K110" s="45"/>
      <c r="L110" s="29">
        <f t="shared" si="10"/>
        <v>1150000</v>
      </c>
      <c r="M110" s="29">
        <v>7000</v>
      </c>
      <c r="N110" s="29">
        <f t="shared" si="12"/>
        <v>1143000</v>
      </c>
      <c r="O110" s="39">
        <f t="shared" si="11"/>
        <v>2.7426761808588373E-3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f>98+23.07</f>
        <v>121.07</v>
      </c>
      <c r="N111" s="29">
        <f t="shared" si="12"/>
        <v>1378.93</v>
      </c>
      <c r="O111" s="39">
        <f t="shared" si="11"/>
        <v>4.7436543602368487E-5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f>150.8+236.6+203.5+101.05+185.2</f>
        <v>877.14999999999986</v>
      </c>
      <c r="N113" s="29">
        <f t="shared" si="12"/>
        <v>5722.85</v>
      </c>
      <c r="O113" s="39">
        <f t="shared" si="11"/>
        <v>3.4367691600576121E-4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>
        <f>62.64+157.34+62.55+103.94</f>
        <v>386.47</v>
      </c>
      <c r="N114" s="29">
        <f t="shared" si="12"/>
        <v>3613.5299999999997</v>
      </c>
      <c r="O114" s="39">
        <f t="shared" si="11"/>
        <v>1.5142315194521642E-4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>
        <v>4500</v>
      </c>
      <c r="N115" s="29">
        <f t="shared" si="12"/>
        <v>20751.900000000001</v>
      </c>
      <c r="O115" s="39">
        <f t="shared" si="11"/>
        <v>1.7631489734092525E-3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>
        <f>46+262+10940.08+4201.49</f>
        <v>15449.57</v>
      </c>
      <c r="N117" s="29">
        <f t="shared" si="12"/>
        <v>-5949.57</v>
      </c>
      <c r="O117" s="39">
        <f t="shared" si="11"/>
        <v>6.0533096633587523E-3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>
        <v>101</v>
      </c>
      <c r="N118" s="29">
        <f t="shared" si="12"/>
        <v>75899</v>
      </c>
      <c r="O118" s="39">
        <f t="shared" si="11"/>
        <v>3.9572899180963221E-5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f>287+760.6+2770.11+247.15+1712.08-0.01+1077.75</f>
        <v>6854.68</v>
      </c>
      <c r="N119" s="29">
        <f t="shared" si="12"/>
        <v>2645.3199999999997</v>
      </c>
      <c r="O119" s="39">
        <f t="shared" si="11"/>
        <v>2.6857382233442077E-3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/>
      <c r="N124" s="29">
        <f t="shared" si="12"/>
        <v>10000</v>
      </c>
      <c r="O124" s="39">
        <f>M124/$M$138</f>
        <v>0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>
        <v>14992</v>
      </c>
      <c r="N128" s="29">
        <f t="shared" si="12"/>
        <v>25008</v>
      </c>
      <c r="O128" s="39">
        <f>+M128/M138</f>
        <v>5.8740287576336692E-3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>
        <v>6290</v>
      </c>
      <c r="N129" s="29">
        <f t="shared" si="12"/>
        <v>8010</v>
      </c>
      <c r="O129" s="39">
        <f>M129/$M$138</f>
        <v>2.4644904539431549E-3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/>
      <c r="N134" s="29">
        <f t="shared" si="12"/>
        <v>185900</v>
      </c>
      <c r="O134" s="39">
        <f>M134/$M$138</f>
        <v>0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/>
      <c r="N135" s="29">
        <f t="shared" si="12"/>
        <v>7170</v>
      </c>
      <c r="O135" s="39">
        <f>M135/$M$138</f>
        <v>0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f>750+1500+1500+1500+1500+1500</f>
        <v>8250</v>
      </c>
      <c r="N136" s="29">
        <f t="shared" si="12"/>
        <v>61750</v>
      </c>
      <c r="O136" s="39">
        <f>M136/$M$138</f>
        <v>3.2324397845836295E-3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>
        <f>3210.77</f>
        <v>3210.77</v>
      </c>
      <c r="N137" s="29">
        <f t="shared" si="12"/>
        <v>5539.23</v>
      </c>
      <c r="O137" s="39">
        <f>M137/$M$138</f>
        <v>1.2580146287451612E-3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428653.07999999996</v>
      </c>
      <c r="E138" s="35">
        <f t="shared" si="14"/>
        <v>0</v>
      </c>
      <c r="F138" s="35">
        <f t="shared" si="14"/>
        <v>992800</v>
      </c>
      <c r="G138" s="35">
        <f t="shared" si="14"/>
        <v>992800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>SUM(L31:L137)</f>
        <v>8258523.6200000001</v>
      </c>
      <c r="M138" s="35">
        <f>SUM(M31:M137)</f>
        <v>2552251.7200000007</v>
      </c>
      <c r="N138" s="35">
        <f t="shared" si="14"/>
        <v>5706271.8999999994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2768986.59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-2552251.7200000007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2253371.6899999995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ht="12" customHeight="1" x14ac:dyDescent="0.2">
      <c r="A157" s="55" t="s">
        <v>269</v>
      </c>
      <c r="B157" s="53"/>
      <c r="C157" s="70">
        <v>18325.830000000002</v>
      </c>
      <c r="D157" s="4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152</v>
      </c>
      <c r="B158" s="53"/>
      <c r="C158" s="70">
        <f>7203.13+3260.65+675.08</f>
        <v>11138.86</v>
      </c>
      <c r="D158" s="80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151</v>
      </c>
      <c r="B159" s="53"/>
      <c r="C159" s="70">
        <v>1993.24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150</v>
      </c>
      <c r="B160" s="53"/>
      <c r="C160" s="70">
        <v>8648.91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270</v>
      </c>
      <c r="B161" s="53"/>
      <c r="C161" s="70">
        <v>-15</v>
      </c>
      <c r="D161" s="81"/>
      <c r="E161" s="4"/>
      <c r="F161" s="4"/>
      <c r="G161" s="4"/>
      <c r="H161" s="4"/>
      <c r="I161" s="4"/>
      <c r="J161" s="67"/>
      <c r="K161" s="67"/>
      <c r="L161" s="4"/>
    </row>
    <row r="162" spans="1:13" x14ac:dyDescent="0.2">
      <c r="A162" s="55" t="s">
        <v>237</v>
      </c>
      <c r="B162" s="53"/>
      <c r="C162" s="70"/>
      <c r="D162" s="81"/>
      <c r="E162" s="4"/>
      <c r="F162" s="4"/>
      <c r="G162" s="4"/>
      <c r="H162" s="4"/>
      <c r="I162" s="4"/>
      <c r="J162" s="67"/>
      <c r="K162" s="67"/>
      <c r="L162" s="4"/>
    </row>
    <row r="163" spans="1:13" x14ac:dyDescent="0.2">
      <c r="A163" s="55" t="s">
        <v>268</v>
      </c>
      <c r="B163" s="53"/>
      <c r="C163" s="70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1"/>
      <c r="D164" s="82"/>
      <c r="E164" s="83"/>
      <c r="F164" s="4"/>
      <c r="G164" s="4"/>
      <c r="H164" s="4"/>
      <c r="I164" s="4"/>
      <c r="J164" s="67"/>
      <c r="K164" s="67"/>
      <c r="L164" s="4"/>
    </row>
    <row r="165" spans="1:13" ht="15.75" x14ac:dyDescent="0.25">
      <c r="A165" s="56"/>
      <c r="B165" s="57"/>
      <c r="C165" s="72">
        <f>SUM(C155:C164)</f>
        <v>40413.840000000004</v>
      </c>
      <c r="D165" s="82"/>
      <c r="E165" s="83"/>
      <c r="F165" s="4"/>
      <c r="G165" s="4"/>
      <c r="H165" s="4"/>
      <c r="I165" s="4"/>
      <c r="J165" s="67"/>
      <c r="K165" s="67"/>
      <c r="L165" s="4"/>
    </row>
    <row r="166" spans="1:13" ht="2.1" customHeight="1" x14ac:dyDescent="0.25">
      <c r="A166" s="56"/>
      <c r="B166" s="57"/>
      <c r="C166" s="73"/>
      <c r="D166" s="81"/>
      <c r="E166" s="4"/>
      <c r="F166" s="4"/>
      <c r="G166" s="4"/>
      <c r="H166" s="4"/>
      <c r="I166" s="4"/>
      <c r="J166" s="67"/>
      <c r="K166" s="67"/>
      <c r="L166" s="4"/>
    </row>
    <row r="167" spans="1:13" x14ac:dyDescent="0.2">
      <c r="A167" s="55"/>
      <c r="B167" s="53"/>
      <c r="C167" s="70"/>
      <c r="D167" s="81"/>
      <c r="E167" s="4"/>
      <c r="F167" s="4"/>
      <c r="G167" s="4"/>
      <c r="H167" s="4"/>
      <c r="I167" s="4"/>
      <c r="J167" s="67"/>
      <c r="K167" s="67"/>
      <c r="L167" s="4"/>
    </row>
    <row r="168" spans="1:13" ht="2.1" customHeight="1" thickBot="1" x14ac:dyDescent="0.3">
      <c r="A168" s="58" t="s">
        <v>244</v>
      </c>
      <c r="B168" s="59"/>
      <c r="C168" s="69">
        <f>C152+C165</f>
        <v>2293785.5299999993</v>
      </c>
      <c r="D168" s="80"/>
      <c r="E168" s="4"/>
      <c r="F168" s="4"/>
      <c r="G168" s="4"/>
      <c r="H168" s="4"/>
      <c r="I168" s="4"/>
      <c r="J168" s="67"/>
      <c r="K168" s="67"/>
      <c r="L168" s="4"/>
    </row>
    <row r="169" spans="1:13" ht="9.9499999999999993" customHeight="1" x14ac:dyDescent="0.2">
      <c r="A169" s="55"/>
      <c r="B169" s="53"/>
      <c r="C169" s="70"/>
      <c r="D169" s="80"/>
      <c r="E169" s="4"/>
      <c r="F169" s="4"/>
      <c r="G169" s="4"/>
      <c r="H169" s="4"/>
      <c r="I169" s="4"/>
      <c r="J169" s="67"/>
      <c r="K169" s="67"/>
      <c r="L169" s="4"/>
    </row>
    <row r="170" spans="1:13" ht="16.5" thickBot="1" x14ac:dyDescent="0.3">
      <c r="A170" s="58" t="s">
        <v>274</v>
      </c>
      <c r="B170" s="59"/>
      <c r="C170" s="69">
        <f>C152+C165</f>
        <v>2293785.5299999993</v>
      </c>
      <c r="D170" s="82"/>
      <c r="E170" s="4"/>
      <c r="F170" s="4"/>
      <c r="G170" s="4"/>
      <c r="H170" s="4"/>
      <c r="I170" s="4"/>
      <c r="J170" s="67"/>
      <c r="K170" s="67"/>
      <c r="L170" s="4"/>
      <c r="M170" s="4"/>
    </row>
    <row r="171" spans="1:13" x14ac:dyDescent="0.2">
      <c r="A171" s="53"/>
      <c r="C171" s="4"/>
      <c r="D171" s="4"/>
      <c r="E171" s="4"/>
      <c r="F171" s="4"/>
      <c r="G171" s="4"/>
      <c r="H171" s="4"/>
      <c r="I171" s="4"/>
      <c r="J171" s="67"/>
      <c r="K171" s="67"/>
      <c r="L171" s="4"/>
    </row>
    <row r="172" spans="1:13" x14ac:dyDescent="0.2">
      <c r="C172" s="4"/>
      <c r="D172" s="4"/>
      <c r="E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67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C182" s="13" t="s">
        <v>231</v>
      </c>
      <c r="G182" s="11" t="s">
        <v>264</v>
      </c>
      <c r="J182" s="13" t="s">
        <v>240</v>
      </c>
      <c r="K182" s="75"/>
    </row>
    <row r="183" spans="2:12" x14ac:dyDescent="0.2">
      <c r="B183" s="11" t="s">
        <v>90</v>
      </c>
      <c r="C183" s="13" t="s">
        <v>91</v>
      </c>
      <c r="G183" s="11" t="s">
        <v>265</v>
      </c>
      <c r="J183" s="11" t="s">
        <v>249</v>
      </c>
    </row>
    <row r="187" spans="2:12" x14ac:dyDescent="0.2">
      <c r="I187" s="4"/>
      <c r="K187" s="67"/>
      <c r="L187" s="4"/>
    </row>
    <row r="188" spans="2:12" x14ac:dyDescent="0.2">
      <c r="I188" s="4"/>
      <c r="K188" s="67"/>
      <c r="L188" s="4"/>
    </row>
    <row r="189" spans="2:12" x14ac:dyDescent="0.2">
      <c r="G189" s="60"/>
      <c r="I189" s="60"/>
      <c r="K189" s="68"/>
      <c r="L189" s="4"/>
    </row>
    <row r="190" spans="2:12" x14ac:dyDescent="0.2">
      <c r="G190" s="60"/>
      <c r="I190" s="60"/>
      <c r="K190" s="68"/>
      <c r="L190" s="4"/>
    </row>
    <row r="191" spans="2:12" x14ac:dyDescent="0.2">
      <c r="G191" s="60"/>
      <c r="L191" s="4"/>
    </row>
    <row r="192" spans="2:12" x14ac:dyDescent="0.2">
      <c r="G192" s="60"/>
    </row>
    <row r="193" spans="7:12" x14ac:dyDescent="0.2">
      <c r="G193" s="60"/>
    </row>
    <row r="194" spans="7:12" x14ac:dyDescent="0.2">
      <c r="G194" s="60"/>
      <c r="L194" s="4"/>
    </row>
    <row r="195" spans="7:12" x14ac:dyDescent="0.2">
      <c r="G195" s="60"/>
    </row>
    <row r="196" spans="7:12" x14ac:dyDescent="0.2">
      <c r="G196" s="60"/>
    </row>
    <row r="197" spans="7:12" x14ac:dyDescent="0.2">
      <c r="G197" s="60"/>
    </row>
    <row r="198" spans="7:12" x14ac:dyDescent="0.2">
      <c r="G198" s="60"/>
    </row>
    <row r="199" spans="7:12" x14ac:dyDescent="0.2">
      <c r="G199" s="60"/>
    </row>
    <row r="200" spans="7:12" x14ac:dyDescent="0.2">
      <c r="G200" s="60"/>
    </row>
    <row r="201" spans="7:12" x14ac:dyDescent="0.2">
      <c r="G201" s="60"/>
    </row>
    <row r="202" spans="7:12" x14ac:dyDescent="0.2">
      <c r="G202" s="60"/>
    </row>
    <row r="203" spans="7:12" x14ac:dyDescent="0.2">
      <c r="G203" s="60"/>
    </row>
    <row r="204" spans="7:12" x14ac:dyDescent="0.2">
      <c r="G204" s="60"/>
    </row>
    <row r="205" spans="7:12" x14ac:dyDescent="0.2">
      <c r="G205" s="60"/>
    </row>
    <row r="206" spans="7:12" x14ac:dyDescent="0.2">
      <c r="G206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  <ignoredErrors>
    <ignoredError sqref="M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E580-D432-4247-BB09-6763319E7F75}">
  <dimension ref="A1:O206"/>
  <sheetViews>
    <sheetView zoomScaleNormal="100" workbookViewId="0">
      <selection activeCell="M26" sqref="M2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276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15000+6800+2800+200+400+400+1000+650</f>
        <v>27250</v>
      </c>
      <c r="N10" s="29">
        <f t="shared" ref="N10:N22" si="1">L10-M10</f>
        <v>9750</v>
      </c>
      <c r="O10" s="28">
        <f>M10/$M$26</f>
        <v>7.0353950336875361E-3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>
        <f>3395+3655+2040+4065+3690+3255+3810</f>
        <v>23910</v>
      </c>
      <c r="N12" s="29">
        <f t="shared" si="1"/>
        <v>6590</v>
      </c>
      <c r="O12" s="28">
        <f>M12/$M$26</f>
        <v>6.1730750552465687E-3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f>1190.19+1066.17+1152.99+1192.01+991.39+751.35+820.8+845.14</f>
        <v>8010.0400000000018</v>
      </c>
      <c r="N15" s="29">
        <f t="shared" si="1"/>
        <v>789.95999999999822</v>
      </c>
      <c r="O15" s="28">
        <f>M15/$M$26</f>
        <v>2.068029197638111E-3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/>
      <c r="J18" s="45"/>
      <c r="K18" s="45"/>
      <c r="L18" s="29">
        <f>C18+D18-E18+F18-G18+J18-K18</f>
        <v>3669949.52</v>
      </c>
      <c r="M18" s="29">
        <f>249709.38+249709.38+360686.22+256701.66+256701.66+256701.66+312274.32+256701.66</f>
        <v>2199185.94</v>
      </c>
      <c r="N18" s="29">
        <f t="shared" si="1"/>
        <v>1470763.58</v>
      </c>
      <c r="O18" s="28">
        <f>M18/$M$26</f>
        <v>0.56778502166720946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f>463102.27+457387.6-20220.24+68514+57492.44+40714+497739.79+27188.9</f>
        <v>1591918.76</v>
      </c>
      <c r="N20" s="29">
        <f t="shared" si="1"/>
        <v>1093574.6399999999</v>
      </c>
      <c r="O20" s="28">
        <f>M20/$M$26</f>
        <v>0.41100100323442279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>
        <v>22997.46</v>
      </c>
      <c r="N22" s="29">
        <f t="shared" si="1"/>
        <v>27002.54</v>
      </c>
      <c r="O22" s="28">
        <f>M22/$M$26</f>
        <v>5.9374758117955147E-3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3873272.2</v>
      </c>
      <c r="N26" s="35">
        <f t="shared" si="2"/>
        <v>4385251.42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f>62454.4+62454.4+62454.4+62454.4+62454.4+62454.4+61326.4+62436.4</f>
        <v>498489.20000000007</v>
      </c>
      <c r="N31" s="29">
        <f t="shared" ref="N31:N99" si="3">L31-M31</f>
        <v>316082.83999999997</v>
      </c>
      <c r="O31" s="39">
        <f>M31/$M$138</f>
        <v>0.1478985909694143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f>1125+1125+1125+1125+1125+1125+1125+1125</f>
        <v>9000</v>
      </c>
      <c r="N32" s="29">
        <f t="shared" si="3"/>
        <v>4700</v>
      </c>
      <c r="O32" s="39">
        <f>M32/$M$138</f>
        <v>2.6702430438306957E-3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f>22349+22349+22349+22349+22349+22349+22937.25+21049</f>
        <v>178080.25</v>
      </c>
      <c r="N33" s="29">
        <f t="shared" si="3"/>
        <v>133019.75</v>
      </c>
      <c r="O33" s="39">
        <f>M33/$M$138</f>
        <v>5.2835283200681246E-2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/>
      <c r="I34" s="29"/>
      <c r="J34" s="45"/>
      <c r="K34" s="45"/>
      <c r="L34" s="29">
        <f t="shared" si="4"/>
        <v>154000</v>
      </c>
      <c r="M34" s="29">
        <f>17142.84+17142.84+17142.84+17142.84+17142.84+17142.84+17142.94</f>
        <v>119999.98</v>
      </c>
      <c r="N34" s="29">
        <f t="shared" si="3"/>
        <v>34000.020000000004</v>
      </c>
      <c r="O34" s="39">
        <f>M34/$M$138</f>
        <v>3.5603234650535845E-2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3985.95+1853.84+1927.62+3390.46+5053.81+1259.19+5124.71</f>
        <v>22595.579999999998</v>
      </c>
      <c r="N36" s="29">
        <f t="shared" si="3"/>
        <v>11915.220000000005</v>
      </c>
      <c r="O36" s="39">
        <f t="shared" si="5"/>
        <v>6.7039655907022207E-3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6663.88+7089.19+6861.69+6869.56+7025.65+7203.13+6918.6+7208.77</f>
        <v>55840.47</v>
      </c>
      <c r="N37" s="29">
        <f t="shared" si="3"/>
        <v>31560.679999999993</v>
      </c>
      <c r="O37" s="39">
        <f t="shared" si="5"/>
        <v>1.6567514064637405E-2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624.54+664.4+643.08+643.82+658.45+675.08+648.42+675.61</f>
        <v>5233.3999999999996</v>
      </c>
      <c r="N38" s="29">
        <f t="shared" si="3"/>
        <v>2957.4400000000005</v>
      </c>
      <c r="O38" s="39">
        <f t="shared" si="5"/>
        <v>1.5527166606203956E-3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>
        <v>4394.5600000000004</v>
      </c>
      <c r="N39" s="29">
        <f t="shared" si="3"/>
        <v>63186.45</v>
      </c>
      <c r="O39" s="39">
        <f t="shared" si="5"/>
        <v>1.3038381411885137E-3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>
        <v>62683.92</v>
      </c>
      <c r="N40" s="29">
        <f t="shared" si="3"/>
        <v>4897.0899999999965</v>
      </c>
      <c r="O40" s="39">
        <f t="shared" si="5"/>
        <v>1.8597922371115534E-2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>
        <v>225.75</v>
      </c>
      <c r="N41" s="29">
        <f t="shared" si="3"/>
        <v>4174.25</v>
      </c>
      <c r="O41" s="39">
        <f t="shared" si="5"/>
        <v>6.6978596349419941E-5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f>465.85+1911.83+1651.66+1641.4+1491.35+1597.4+1291.61+1694.72</f>
        <v>11745.82</v>
      </c>
      <c r="N45" s="29">
        <f t="shared" si="3"/>
        <v>2004.1800000000003</v>
      </c>
      <c r="O45" s="39">
        <f t="shared" ref="O45:O54" si="7">M45/$M$138</f>
        <v>3.4849104610097177E-3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4700.89+616.64+610.24+619.85+608+631.42+612.44+1071.56</f>
        <v>9471.0400000000009</v>
      </c>
      <c r="N46" s="29">
        <f t="shared" si="3"/>
        <v>16628.96</v>
      </c>
      <c r="O46" s="39">
        <f t="shared" si="7"/>
        <v>2.8099976308713637E-3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6.0525508993495767E-4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f>15+2240+725+367.5+3705+36+768+25</f>
        <v>7881.5</v>
      </c>
      <c r="N49" s="29">
        <f t="shared" si="3"/>
        <v>6368.5</v>
      </c>
      <c r="O49" s="39">
        <f t="shared" si="7"/>
        <v>2.3383911722168475E-3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>
        <f>378743.69+21726.93</f>
        <v>400470.62</v>
      </c>
      <c r="N50" s="29">
        <f t="shared" si="3"/>
        <v>272617.84999999998</v>
      </c>
      <c r="O50" s="39">
        <f t="shared" si="7"/>
        <v>0.1188170985903962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>
        <f>7164.11+116434.25+133833.94+5432.58+1073.18+24956.58</f>
        <v>288894.64</v>
      </c>
      <c r="N51" s="29">
        <f t="shared" si="3"/>
        <v>274848.05999999994</v>
      </c>
      <c r="O51" s="39">
        <f t="shared" si="7"/>
        <v>8.5713211428885897E-2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/>
      <c r="I52" s="29"/>
      <c r="J52" s="45"/>
      <c r="K52" s="45"/>
      <c r="L52" s="29">
        <f>C52+D52-E52+F52-G52+H52-I52+J52-K52</f>
        <v>500985.37</v>
      </c>
      <c r="M52" s="29">
        <f>10463.32+70410.62+88302.55+40613.73+25589.39+126199.79</f>
        <v>361579.39999999997</v>
      </c>
      <c r="N52" s="29">
        <f t="shared" si="3"/>
        <v>139405.97000000003</v>
      </c>
      <c r="O52" s="39">
        <f t="shared" si="7"/>
        <v>0.10727831973805295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>
        <f>800+23101.17+4780</f>
        <v>28681.17</v>
      </c>
      <c r="N53" s="29">
        <f t="shared" si="3"/>
        <v>196318.83000000002</v>
      </c>
      <c r="O53" s="39">
        <f t="shared" si="7"/>
        <v>8.5095216312695149E-3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>
        <v>219</v>
      </c>
      <c r="N54" s="29">
        <f t="shared" si="3"/>
        <v>74781</v>
      </c>
      <c r="O54" s="39">
        <f t="shared" si="7"/>
        <v>6.4975914066546921E-5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>
        <f>15000+7500+7500+7500+7500+7500+7500</f>
        <v>60000</v>
      </c>
      <c r="N55" s="29">
        <f t="shared" si="3"/>
        <v>30000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>
        <v>3068.8</v>
      </c>
      <c r="N56" s="29">
        <f t="shared" si="3"/>
        <v>1331.1999999999998</v>
      </c>
      <c r="O56" s="39">
        <f t="shared" ref="O56:O61" si="8">M56/$M$138</f>
        <v>9.1049353921195987E-4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>
        <v>1700</v>
      </c>
      <c r="N58" s="29">
        <f t="shared" si="3"/>
        <v>6050</v>
      </c>
      <c r="O58" s="39">
        <f t="shared" si="8"/>
        <v>5.0437924161246474E-4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v>170.04</v>
      </c>
      <c r="N59" s="29">
        <f t="shared" si="3"/>
        <v>6829.96</v>
      </c>
      <c r="O59" s="39">
        <f t="shared" si="8"/>
        <v>5.0449791908107941E-5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f>150+4480</f>
        <v>4630</v>
      </c>
      <c r="N60" s="29">
        <f t="shared" si="3"/>
        <v>9370</v>
      </c>
      <c r="O60" s="39">
        <f t="shared" si="8"/>
        <v>1.3736916992151244E-3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/>
      <c r="J63" s="45"/>
      <c r="K63" s="45"/>
      <c r="L63" s="29">
        <f t="shared" si="6"/>
        <v>115000</v>
      </c>
      <c r="M63" s="29">
        <f>30063.05+235.71+482.14+1990</f>
        <v>32770.899999999994</v>
      </c>
      <c r="N63" s="29">
        <f t="shared" si="3"/>
        <v>82229.100000000006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/>
      <c r="I64" s="29"/>
      <c r="J64" s="45"/>
      <c r="K64" s="45"/>
      <c r="L64" s="29">
        <f t="shared" si="6"/>
        <v>30750</v>
      </c>
      <c r="M64" s="29"/>
      <c r="N64" s="29">
        <f t="shared" si="3"/>
        <v>30750</v>
      </c>
      <c r="O64" s="39">
        <f t="shared" ref="O64:O79" si="9">M64/$M$138</f>
        <v>0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>
        <f>4909.09+4909.09+4909.09+4909.09+4909.09+4909.09+4909.09</f>
        <v>34363.630000000005</v>
      </c>
      <c r="N67" s="29">
        <f t="shared" si="3"/>
        <v>19636.369999999995</v>
      </c>
      <c r="O67" s="39">
        <f t="shared" si="9"/>
        <v>1.0195471552030202E-2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f>4500+4500+4500+4500+4500+4500+4500+4500</f>
        <v>36000</v>
      </c>
      <c r="N68" s="29">
        <f t="shared" si="3"/>
        <v>18000</v>
      </c>
      <c r="O68" s="39">
        <f t="shared" si="9"/>
        <v>1.0680972175322783E-2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>
        <v>300</v>
      </c>
      <c r="N69" s="29">
        <f t="shared" si="3"/>
        <v>7200</v>
      </c>
      <c r="O69" s="39">
        <f t="shared" si="9"/>
        <v>8.9008101461023189E-5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f>650+840</f>
        <v>1490</v>
      </c>
      <c r="N70" s="29">
        <f t="shared" si="3"/>
        <v>23050</v>
      </c>
      <c r="O70" s="39">
        <f t="shared" si="9"/>
        <v>4.4207357058974849E-4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75279.4+121070.11+58800+3000+172041.02+1000+112256.73</f>
        <v>543447.26</v>
      </c>
      <c r="N71" s="29">
        <f t="shared" si="3"/>
        <v>319852.74</v>
      </c>
      <c r="O71" s="39">
        <f t="shared" si="9"/>
        <v>0.1612373628559835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/>
      <c r="J73" s="45"/>
      <c r="K73" s="45"/>
      <c r="L73" s="29">
        <f t="shared" si="6"/>
        <v>176000</v>
      </c>
      <c r="M73" s="29"/>
      <c r="N73" s="29">
        <f t="shared" si="3"/>
        <v>176000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/>
      <c r="N74" s="29">
        <f t="shared" si="3"/>
        <v>8250</v>
      </c>
      <c r="O74" s="39">
        <f t="shared" si="9"/>
        <v>0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50.36+100.33+202.82+281.23+50.36+132.24+50.36+127.03</f>
        <v>994.73</v>
      </c>
      <c r="N75" s="29">
        <f t="shared" si="3"/>
        <v>1505.27</v>
      </c>
      <c r="O75" s="39">
        <f t="shared" si="9"/>
        <v>2.9513009588774534E-4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30+230.2+363+17298.83+13683.72+929.7+295.3+18603.67</f>
        <v>51434.42</v>
      </c>
      <c r="N76" s="29">
        <f t="shared" si="3"/>
        <v>73565.58</v>
      </c>
      <c r="O76" s="39">
        <f t="shared" si="9"/>
        <v>1.5260266913162934E-2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80+273+65.5+267.5+5785+14270.56+1200+250.59</f>
        <v>22192.149999999998</v>
      </c>
      <c r="N79" s="29">
        <f t="shared" si="3"/>
        <v>28807.850000000002</v>
      </c>
      <c r="O79" s="39">
        <f t="shared" si="9"/>
        <v>6.5842704627941517E-3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148784.1</v>
      </c>
      <c r="M83" s="29">
        <f>782.3+3384.3+2972.3+3318.7+4227.6+2430+4032.65+3133.5</f>
        <v>24281.350000000002</v>
      </c>
      <c r="N83" s="29">
        <f t="shared" si="3"/>
        <v>124502.75</v>
      </c>
      <c r="O83" s="39">
        <f t="shared" ref="O83:O119" si="11">M83/$M$138</f>
        <v>7.2041228813687188E-3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>
        <f>100+25.9+200+170</f>
        <v>495.9</v>
      </c>
      <c r="N87" s="29">
        <f t="shared" si="3"/>
        <v>4504.1000000000004</v>
      </c>
      <c r="O87" s="39">
        <f t="shared" si="11"/>
        <v>1.4713039171507133E-4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>
        <f>1260+720+1925+8881.6+4200</f>
        <v>16986.599999999999</v>
      </c>
      <c r="N88" s="29">
        <f t="shared" si="3"/>
        <v>16813.400000000001</v>
      </c>
      <c r="O88" s="39">
        <f t="shared" si="11"/>
        <v>5.039816720926054E-3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f>506.3+361.55+365.5+576.56+8+434+795.7+502.8</f>
        <v>3550.41</v>
      </c>
      <c r="N89" s="29">
        <f t="shared" si="3"/>
        <v>1699.5900000000001</v>
      </c>
      <c r="O89" s="39">
        <f t="shared" si="11"/>
        <v>1.0533841783607711E-3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f>941.5+113+924.25+970.84+257.6+1032.74+1683.54+92.4</f>
        <v>6015.87</v>
      </c>
      <c r="N90" s="29">
        <f t="shared" si="3"/>
        <v>4484.13</v>
      </c>
      <c r="O90" s="39">
        <f t="shared" si="11"/>
        <v>1.7848705577877518E-3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f>69.8+860.8+22.5+20.75+493.6+143.6+270</f>
        <v>1881.0499999999997</v>
      </c>
      <c r="N91" s="29">
        <f t="shared" si="3"/>
        <v>1168.9500000000003</v>
      </c>
      <c r="O91" s="39">
        <f t="shared" si="11"/>
        <v>5.5809563084419209E-4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/>
      <c r="N93" s="29">
        <f t="shared" si="3"/>
        <v>5500</v>
      </c>
      <c r="O93" s="39">
        <f t="shared" si="11"/>
        <v>0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>
        <f>550+360+90</f>
        <v>1000</v>
      </c>
      <c r="N94" s="29">
        <f t="shared" si="3"/>
        <v>1700</v>
      </c>
      <c r="O94" s="39">
        <f t="shared" si="11"/>
        <v>2.9669367153674396E-4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>
        <v>469</v>
      </c>
      <c r="N95" s="29">
        <f t="shared" si="3"/>
        <v>2331</v>
      </c>
      <c r="O95" s="39">
        <f t="shared" si="11"/>
        <v>1.3914933195073291E-4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f>460+700+869+440+530.02+1265.41+705+1088</f>
        <v>6057.43</v>
      </c>
      <c r="N96" s="29">
        <f t="shared" si="3"/>
        <v>2442.5699999999997</v>
      </c>
      <c r="O96" s="39">
        <f t="shared" si="11"/>
        <v>1.797201146776819E-3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>
        <f>62.5+745+50+193.98+170</f>
        <v>1221.48</v>
      </c>
      <c r="N97" s="29">
        <f t="shared" si="3"/>
        <v>4778.5200000000004</v>
      </c>
      <c r="O97" s="39">
        <f t="shared" si="11"/>
        <v>3.6240538590870202E-4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f>750+1760+486+1480.13+4725.97</f>
        <v>9202.1</v>
      </c>
      <c r="N98" s="29">
        <f t="shared" si="3"/>
        <v>8297.9</v>
      </c>
      <c r="O98" s="39">
        <f t="shared" si="11"/>
        <v>2.7302048348482716E-3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f>198.75+81+243.4+6481.27+451.44+144.44+134.1</f>
        <v>7734.4</v>
      </c>
      <c r="N99" s="29">
        <f t="shared" si="3"/>
        <v>-4734.3999999999996</v>
      </c>
      <c r="O99" s="39">
        <f t="shared" si="11"/>
        <v>2.2947475331337925E-3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f>139+605.62+27+893.78+246</f>
        <v>1911.4</v>
      </c>
      <c r="N100" s="29">
        <f t="shared" ref="N100:N137" si="12">L100-M100</f>
        <v>-411.40000000000009</v>
      </c>
      <c r="O100" s="39">
        <f t="shared" si="11"/>
        <v>5.671002837753324E-4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/>
      <c r="I101" s="29"/>
      <c r="J101" s="45"/>
      <c r="K101" s="45"/>
      <c r="L101" s="29">
        <f t="shared" si="10"/>
        <v>331653.07999999996</v>
      </c>
      <c r="M101" s="29">
        <f>69156.28+114221.15</f>
        <v>183377.43</v>
      </c>
      <c r="N101" s="29">
        <f t="shared" si="12"/>
        <v>148275.64999999997</v>
      </c>
      <c r="O101" s="39">
        <f t="shared" si="11"/>
        <v>5.4406922983672251E-2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>
        <v>581</v>
      </c>
      <c r="N104" s="29">
        <f t="shared" si="12"/>
        <v>919</v>
      </c>
      <c r="O104" s="39">
        <f t="shared" si="11"/>
        <v>1.7237902316284822E-4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>
        <v>12793.34</v>
      </c>
      <c r="N106" s="29">
        <f t="shared" si="12"/>
        <v>-12043.34</v>
      </c>
      <c r="O106" s="39">
        <f t="shared" si="11"/>
        <v>3.7957030158178879E-3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>
        <f>252.58+2571.75+376.13+473.5+167</f>
        <v>3840.96</v>
      </c>
      <c r="N108" s="29">
        <f t="shared" si="12"/>
        <v>959.04</v>
      </c>
      <c r="O108" s="39">
        <f t="shared" si="11"/>
        <v>1.1395885246257721E-3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>
        <f>3725+6961.98+31274.47+521.3</f>
        <v>42482.75</v>
      </c>
      <c r="N109" s="29">
        <f t="shared" si="12"/>
        <v>-13682.75</v>
      </c>
      <c r="O109" s="39">
        <f t="shared" si="11"/>
        <v>1.2604363074477608E-2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/>
      <c r="J110" s="45"/>
      <c r="K110" s="45"/>
      <c r="L110" s="29">
        <f t="shared" si="10"/>
        <v>1150000</v>
      </c>
      <c r="M110" s="29">
        <v>7000</v>
      </c>
      <c r="N110" s="29">
        <f t="shared" si="12"/>
        <v>1143000</v>
      </c>
      <c r="O110" s="39">
        <f t="shared" si="11"/>
        <v>2.0768557007572078E-3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f>98+23.07+136.8+564.86</f>
        <v>822.73</v>
      </c>
      <c r="N111" s="29">
        <f t="shared" si="12"/>
        <v>677.27</v>
      </c>
      <c r="O111" s="39">
        <f t="shared" si="11"/>
        <v>2.4409878438342537E-4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f>150.8+236.6+203.5+101.05+185.2+366.05+349</f>
        <v>1592.1999999999998</v>
      </c>
      <c r="N113" s="29">
        <f t="shared" si="12"/>
        <v>5007.8</v>
      </c>
      <c r="O113" s="39">
        <f t="shared" si="11"/>
        <v>4.7239566382080368E-4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>
        <f>62.64+157.34+62.55+103.94+248.09+68.15</f>
        <v>702.71</v>
      </c>
      <c r="N114" s="29">
        <f t="shared" si="12"/>
        <v>3297.29</v>
      </c>
      <c r="O114" s="39">
        <f t="shared" si="11"/>
        <v>2.0848960992558534E-4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>
        <v>4500</v>
      </c>
      <c r="N115" s="29">
        <f t="shared" si="12"/>
        <v>20751.900000000001</v>
      </c>
      <c r="O115" s="39">
        <f t="shared" si="11"/>
        <v>1.3351215219153478E-3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>
        <f>46+262+10940.08+4201.49-1512.51+1137.12</f>
        <v>15074.18</v>
      </c>
      <c r="N117" s="29">
        <f t="shared" si="12"/>
        <v>-5574.18</v>
      </c>
      <c r="O117" s="39">
        <f t="shared" si="11"/>
        <v>4.4724138096057554E-3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>
        <f>101+3685.03</f>
        <v>3786.03</v>
      </c>
      <c r="N118" s="29">
        <f t="shared" si="12"/>
        <v>72213.97</v>
      </c>
      <c r="O118" s="39">
        <f t="shared" si="11"/>
        <v>1.1232911412482588E-3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f>287+760.6+2770.11+247.15+1712.08-0.01+1077.75+819.63+1026.12</f>
        <v>8700.43</v>
      </c>
      <c r="N119" s="29">
        <f t="shared" si="12"/>
        <v>799.56999999999971</v>
      </c>
      <c r="O119" s="39">
        <f t="shared" si="11"/>
        <v>2.5813625206484335E-3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/>
      <c r="N124" s="29">
        <f t="shared" si="12"/>
        <v>10000</v>
      </c>
      <c r="O124" s="39">
        <f>M124/$M$138</f>
        <v>0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>
        <v>14992</v>
      </c>
      <c r="N128" s="29">
        <f t="shared" si="12"/>
        <v>25008</v>
      </c>
      <c r="O128" s="39">
        <f>+M128/M138</f>
        <v>4.4480315236788658E-3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>
        <v>6290</v>
      </c>
      <c r="N129" s="29">
        <f t="shared" si="12"/>
        <v>8010</v>
      </c>
      <c r="O129" s="39">
        <f>M129/$M$138</f>
        <v>1.8662031939661195E-3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>
        <v>51205.02</v>
      </c>
      <c r="N134" s="29">
        <f t="shared" si="12"/>
        <v>134694.98000000001</v>
      </c>
      <c r="O134" s="39">
        <f>M134/$M$138</f>
        <v>1.5192205384912404E-2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>
        <v>2256</v>
      </c>
      <c r="N135" s="29">
        <f t="shared" si="12"/>
        <v>4914</v>
      </c>
      <c r="O135" s="39">
        <f>M135/$M$138</f>
        <v>6.6934092298689431E-4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f>750+1500+1500+1500+1500+1500+1500+56626.94</f>
        <v>66376.94</v>
      </c>
      <c r="N136" s="29">
        <f t="shared" si="12"/>
        <v>3623.0599999999977</v>
      </c>
      <c r="O136" s="39">
        <f>M136/$M$138</f>
        <v>1.9693618033974163E-2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>
        <f>3210.77</f>
        <v>3210.77</v>
      </c>
      <c r="N137" s="29">
        <f t="shared" si="12"/>
        <v>5539.23</v>
      </c>
      <c r="O137" s="39">
        <f>M137/$M$138</f>
        <v>9.5261513976003143E-4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428653.07999999996</v>
      </c>
      <c r="E138" s="35">
        <f t="shared" si="14"/>
        <v>0</v>
      </c>
      <c r="F138" s="35">
        <f t="shared" si="14"/>
        <v>992800</v>
      </c>
      <c r="G138" s="35">
        <f t="shared" si="14"/>
        <v>992800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>SUM(L31:L137)</f>
        <v>8258523.6200000001</v>
      </c>
      <c r="M138" s="35">
        <f>SUM(M31:M137)</f>
        <v>3370479.71</v>
      </c>
      <c r="N138" s="35">
        <f t="shared" si="14"/>
        <v>4888043.9100000011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3873272.2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-3370479.71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2539429.3100000005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ht="12" customHeight="1" x14ac:dyDescent="0.2">
      <c r="A157" s="55" t="s">
        <v>269</v>
      </c>
      <c r="B157" s="53"/>
      <c r="C157" s="70">
        <v>11813.22</v>
      </c>
      <c r="D157" s="4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152</v>
      </c>
      <c r="B158" s="53"/>
      <c r="C158" s="70">
        <f>11147.57+0.01</f>
        <v>11147.58</v>
      </c>
      <c r="D158" s="80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151</v>
      </c>
      <c r="B159" s="53"/>
      <c r="C159" s="70">
        <v>1810.91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150</v>
      </c>
      <c r="B160" s="53"/>
      <c r="C160" s="70">
        <v>6135.35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270</v>
      </c>
      <c r="B161" s="53"/>
      <c r="C161" s="70">
        <v>-15</v>
      </c>
      <c r="D161" s="81"/>
      <c r="E161" s="4"/>
      <c r="F161" s="4"/>
      <c r="G161" s="4"/>
      <c r="H161" s="4"/>
      <c r="I161" s="4"/>
      <c r="J161" s="67"/>
      <c r="K161" s="67"/>
      <c r="L161" s="4"/>
    </row>
    <row r="162" spans="1:13" x14ac:dyDescent="0.2">
      <c r="A162" s="55" t="s">
        <v>237</v>
      </c>
      <c r="B162" s="53"/>
      <c r="C162" s="70"/>
      <c r="D162" s="81"/>
      <c r="E162" s="4"/>
      <c r="F162" s="4"/>
      <c r="G162" s="4"/>
      <c r="H162" s="4"/>
      <c r="I162" s="4"/>
      <c r="J162" s="67"/>
      <c r="K162" s="67"/>
      <c r="L162" s="4"/>
    </row>
    <row r="163" spans="1:13" x14ac:dyDescent="0.2">
      <c r="A163" s="55" t="s">
        <v>268</v>
      </c>
      <c r="B163" s="53"/>
      <c r="C163" s="70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1"/>
      <c r="D164" s="82"/>
      <c r="E164" s="83"/>
      <c r="F164" s="4"/>
      <c r="G164" s="4"/>
      <c r="H164" s="4"/>
      <c r="I164" s="4"/>
      <c r="J164" s="67"/>
      <c r="K164" s="67"/>
      <c r="L164" s="4"/>
    </row>
    <row r="165" spans="1:13" ht="15.75" x14ac:dyDescent="0.25">
      <c r="A165" s="56"/>
      <c r="B165" s="57"/>
      <c r="C165" s="72">
        <f>SUM(C155:C164)</f>
        <v>31214.059999999998</v>
      </c>
      <c r="D165" s="82"/>
      <c r="E165" s="83"/>
      <c r="F165" s="4"/>
      <c r="G165" s="4"/>
      <c r="H165" s="4"/>
      <c r="I165" s="4"/>
      <c r="J165" s="67"/>
      <c r="K165" s="67"/>
      <c r="L165" s="4"/>
    </row>
    <row r="166" spans="1:13" ht="2.1" customHeight="1" x14ac:dyDescent="0.25">
      <c r="A166" s="56"/>
      <c r="B166" s="57"/>
      <c r="C166" s="73"/>
      <c r="D166" s="81"/>
      <c r="E166" s="4"/>
      <c r="F166" s="4"/>
      <c r="G166" s="4"/>
      <c r="H166" s="4"/>
      <c r="I166" s="4"/>
      <c r="J166" s="67"/>
      <c r="K166" s="67"/>
      <c r="L166" s="4"/>
    </row>
    <row r="167" spans="1:13" x14ac:dyDescent="0.2">
      <c r="A167" s="55"/>
      <c r="B167" s="53"/>
      <c r="C167" s="70"/>
      <c r="D167" s="81"/>
      <c r="E167" s="4"/>
      <c r="F167" s="4"/>
      <c r="G167" s="4"/>
      <c r="H167" s="4"/>
      <c r="I167" s="4"/>
      <c r="J167" s="67"/>
      <c r="K167" s="67"/>
      <c r="L167" s="4"/>
    </row>
    <row r="168" spans="1:13" ht="2.1" customHeight="1" thickBot="1" x14ac:dyDescent="0.3">
      <c r="A168" s="58" t="s">
        <v>244</v>
      </c>
      <c r="B168" s="59"/>
      <c r="C168" s="69">
        <f>C152+C165</f>
        <v>2570643.3700000006</v>
      </c>
      <c r="D168" s="80"/>
      <c r="E168" s="4"/>
      <c r="F168" s="4"/>
      <c r="G168" s="4"/>
      <c r="H168" s="4"/>
      <c r="I168" s="4"/>
      <c r="J168" s="67"/>
      <c r="K168" s="67"/>
      <c r="L168" s="4"/>
    </row>
    <row r="169" spans="1:13" ht="9.9499999999999993" customHeight="1" x14ac:dyDescent="0.2">
      <c r="A169" s="55"/>
      <c r="B169" s="53"/>
      <c r="C169" s="70"/>
      <c r="D169" s="80"/>
      <c r="E169" s="4"/>
      <c r="F169" s="4"/>
      <c r="G169" s="4"/>
      <c r="H169" s="4"/>
      <c r="I169" s="4"/>
      <c r="J169" s="67"/>
      <c r="K169" s="67"/>
      <c r="L169" s="4"/>
    </row>
    <row r="170" spans="1:13" ht="16.5" thickBot="1" x14ac:dyDescent="0.3">
      <c r="A170" s="58" t="s">
        <v>275</v>
      </c>
      <c r="B170" s="59"/>
      <c r="C170" s="69">
        <f>C152+C165</f>
        <v>2570643.3700000006</v>
      </c>
      <c r="D170" s="82"/>
      <c r="E170" s="4"/>
      <c r="F170" s="4"/>
      <c r="G170" s="4"/>
      <c r="H170" s="4"/>
      <c r="I170" s="4"/>
      <c r="J170" s="67"/>
      <c r="K170" s="67"/>
      <c r="L170" s="4"/>
      <c r="M170" s="4"/>
    </row>
    <row r="171" spans="1:13" x14ac:dyDescent="0.2">
      <c r="A171" s="53"/>
      <c r="C171" s="4"/>
      <c r="D171" s="4"/>
      <c r="E171" s="4"/>
      <c r="F171" s="4"/>
      <c r="G171" s="4"/>
      <c r="H171" s="4"/>
      <c r="I171" s="4"/>
      <c r="J171" s="67"/>
      <c r="K171" s="67"/>
      <c r="L171" s="4"/>
    </row>
    <row r="172" spans="1:13" x14ac:dyDescent="0.2">
      <c r="C172" s="4"/>
      <c r="D172" s="4"/>
      <c r="E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67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C182" s="13" t="s">
        <v>231</v>
      </c>
      <c r="G182" s="11" t="s">
        <v>264</v>
      </c>
      <c r="J182" s="13" t="s">
        <v>240</v>
      </c>
      <c r="K182" s="75"/>
    </row>
    <row r="183" spans="2:12" x14ac:dyDescent="0.2">
      <c r="B183" s="11" t="s">
        <v>90</v>
      </c>
      <c r="C183" s="13" t="s">
        <v>91</v>
      </c>
      <c r="G183" s="11" t="s">
        <v>265</v>
      </c>
      <c r="J183" s="11" t="s">
        <v>249</v>
      </c>
    </row>
    <row r="187" spans="2:12" x14ac:dyDescent="0.2">
      <c r="I187" s="4"/>
      <c r="K187" s="67"/>
      <c r="L187" s="4"/>
    </row>
    <row r="188" spans="2:12" x14ac:dyDescent="0.2">
      <c r="I188" s="4"/>
      <c r="K188" s="67"/>
      <c r="L188" s="4"/>
    </row>
    <row r="189" spans="2:12" x14ac:dyDescent="0.2">
      <c r="G189" s="60"/>
      <c r="I189" s="60"/>
      <c r="K189" s="68"/>
      <c r="L189" s="4"/>
    </row>
    <row r="190" spans="2:12" x14ac:dyDescent="0.2">
      <c r="G190" s="60"/>
      <c r="I190" s="60"/>
      <c r="K190" s="68"/>
      <c r="L190" s="4"/>
    </row>
    <row r="191" spans="2:12" x14ac:dyDescent="0.2">
      <c r="G191" s="60"/>
      <c r="L191" s="4"/>
    </row>
    <row r="192" spans="2:12" x14ac:dyDescent="0.2">
      <c r="G192" s="60"/>
    </row>
    <row r="193" spans="7:12" x14ac:dyDescent="0.2">
      <c r="G193" s="60"/>
    </row>
    <row r="194" spans="7:12" x14ac:dyDescent="0.2">
      <c r="G194" s="60"/>
      <c r="L194" s="4"/>
    </row>
    <row r="195" spans="7:12" x14ac:dyDescent="0.2">
      <c r="G195" s="60"/>
    </row>
    <row r="196" spans="7:12" x14ac:dyDescent="0.2">
      <c r="G196" s="60"/>
    </row>
    <row r="197" spans="7:12" x14ac:dyDescent="0.2">
      <c r="G197" s="60"/>
    </row>
    <row r="198" spans="7:12" x14ac:dyDescent="0.2">
      <c r="G198" s="60"/>
    </row>
    <row r="199" spans="7:12" x14ac:dyDescent="0.2">
      <c r="G199" s="60"/>
    </row>
    <row r="200" spans="7:12" x14ac:dyDescent="0.2">
      <c r="G200" s="60"/>
    </row>
    <row r="201" spans="7:12" x14ac:dyDescent="0.2">
      <c r="G201" s="60"/>
    </row>
    <row r="202" spans="7:12" x14ac:dyDescent="0.2">
      <c r="G202" s="60"/>
    </row>
    <row r="203" spans="7:12" x14ac:dyDescent="0.2">
      <c r="G203" s="60"/>
    </row>
    <row r="204" spans="7:12" x14ac:dyDescent="0.2">
      <c r="G204" s="60"/>
    </row>
    <row r="205" spans="7:12" x14ac:dyDescent="0.2">
      <c r="G205" s="60"/>
    </row>
    <row r="206" spans="7:12" x14ac:dyDescent="0.2">
      <c r="G206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D38E6-3F9D-4390-BD1B-F5E699BE127F}">
  <dimension ref="A1:O206"/>
  <sheetViews>
    <sheetView topLeftCell="A152" zoomScaleNormal="100" workbookViewId="0">
      <selection activeCell="C158" sqref="C158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276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15000+6800+2800+200+400+400+1000+650</f>
        <v>27250</v>
      </c>
      <c r="N10" s="29">
        <f t="shared" ref="N10:N22" si="1">L10-M10</f>
        <v>9750</v>
      </c>
      <c r="O10" s="28">
        <f>M10/$M$26</f>
        <v>7.0353950336875361E-3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>
        <f>3395+3655+2040+4065+3690+3255+3810</f>
        <v>23910</v>
      </c>
      <c r="N12" s="29">
        <f t="shared" si="1"/>
        <v>6590</v>
      </c>
      <c r="O12" s="28">
        <f>M12/$M$26</f>
        <v>6.1730750552465687E-3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f>1190.19+1066.17+1152.99+1192.01+991.39+751.35+820.8+845.14</f>
        <v>8010.0400000000018</v>
      </c>
      <c r="N15" s="29">
        <f t="shared" si="1"/>
        <v>789.95999999999822</v>
      </c>
      <c r="O15" s="28">
        <f>M15/$M$26</f>
        <v>2.068029197638111E-3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/>
      <c r="J18" s="45"/>
      <c r="K18" s="45"/>
      <c r="L18" s="29">
        <f>C18+D18-E18+F18-G18+J18-K18</f>
        <v>3669949.52</v>
      </c>
      <c r="M18" s="29">
        <f>249709.38+249709.38+360686.22+256701.66+256701.66+256701.66+312274.32+256701.66</f>
        <v>2199185.94</v>
      </c>
      <c r="N18" s="29">
        <f t="shared" si="1"/>
        <v>1470763.58</v>
      </c>
      <c r="O18" s="28">
        <f>M18/$M$26</f>
        <v>0.56778502166720946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f>463102.27+457387.6-20220.24+68514+57492.44+40714+497739.79+27188.9</f>
        <v>1591918.76</v>
      </c>
      <c r="N20" s="29">
        <f t="shared" si="1"/>
        <v>1093574.6399999999</v>
      </c>
      <c r="O20" s="28">
        <f>M20/$M$26</f>
        <v>0.41100100323442279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>
        <v>22997.46</v>
      </c>
      <c r="N22" s="29">
        <f t="shared" si="1"/>
        <v>27002.54</v>
      </c>
      <c r="O22" s="28">
        <f>M22/$M$26</f>
        <v>5.9374758117955147E-3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3873272.2</v>
      </c>
      <c r="N26" s="35">
        <f t="shared" si="2"/>
        <v>4385251.42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f>62454.4+62454.4+62454.4+62454.4+62454.4+62454.4+61326.4+62436.4</f>
        <v>498489.20000000007</v>
      </c>
      <c r="N31" s="29">
        <f t="shared" ref="N31:N99" si="3">L31-M31</f>
        <v>316082.83999999997</v>
      </c>
      <c r="O31" s="39">
        <f>M31/$M$138</f>
        <v>0.1478985909694143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f>1125+1125+1125+1125+1125+1125+1125+1125</f>
        <v>9000</v>
      </c>
      <c r="N32" s="29">
        <f t="shared" si="3"/>
        <v>4700</v>
      </c>
      <c r="O32" s="39">
        <f>M32/$M$138</f>
        <v>2.6702430438306957E-3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f>22349+22349+22349+22349+22349+22349+22937.25+21049</f>
        <v>178080.25</v>
      </c>
      <c r="N33" s="29">
        <f t="shared" si="3"/>
        <v>133019.75</v>
      </c>
      <c r="O33" s="39">
        <f>M33/$M$138</f>
        <v>5.2835283200681246E-2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/>
      <c r="I34" s="29"/>
      <c r="J34" s="45"/>
      <c r="K34" s="45"/>
      <c r="L34" s="29">
        <f t="shared" si="4"/>
        <v>154000</v>
      </c>
      <c r="M34" s="29">
        <f>17142.84+17142.84+17142.84+17142.84+17142.84+17142.84+17142.94</f>
        <v>119999.98</v>
      </c>
      <c r="N34" s="29">
        <f t="shared" si="3"/>
        <v>34000.020000000004</v>
      </c>
      <c r="O34" s="39">
        <f>M34/$M$138</f>
        <v>3.5603234650535845E-2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3985.95+1853.84+1927.62+3390.46+5053.81+1259.19+5124.71</f>
        <v>22595.579999999998</v>
      </c>
      <c r="N36" s="29">
        <f t="shared" si="3"/>
        <v>11915.220000000005</v>
      </c>
      <c r="O36" s="39">
        <f t="shared" si="5"/>
        <v>6.7039655907022207E-3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6663.88+7089.19+6861.69+6869.56+7025.65+7203.13+6918.6+7208.77</f>
        <v>55840.47</v>
      </c>
      <c r="N37" s="29">
        <f t="shared" si="3"/>
        <v>31560.679999999993</v>
      </c>
      <c r="O37" s="39">
        <f t="shared" si="5"/>
        <v>1.6567514064637405E-2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624.54+664.4+643.08+643.82+658.45+675.08+648.42+675.61</f>
        <v>5233.3999999999996</v>
      </c>
      <c r="N38" s="29">
        <f t="shared" si="3"/>
        <v>2957.4400000000005</v>
      </c>
      <c r="O38" s="39">
        <f t="shared" si="5"/>
        <v>1.5527166606203956E-3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>
        <v>4394.5600000000004</v>
      </c>
      <c r="N39" s="29">
        <f t="shared" si="3"/>
        <v>63186.45</v>
      </c>
      <c r="O39" s="39">
        <f t="shared" si="5"/>
        <v>1.3038381411885137E-3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>
        <v>62683.92</v>
      </c>
      <c r="N40" s="29">
        <f t="shared" si="3"/>
        <v>4897.0899999999965</v>
      </c>
      <c r="O40" s="39">
        <f t="shared" si="5"/>
        <v>1.8597922371115534E-2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>
        <v>225.75</v>
      </c>
      <c r="N41" s="29">
        <f t="shared" si="3"/>
        <v>4174.25</v>
      </c>
      <c r="O41" s="39">
        <f t="shared" si="5"/>
        <v>6.6978596349419941E-5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f>465.85+1911.83+1651.66+1641.4+1491.35+1597.4+1291.61+1694.72</f>
        <v>11745.82</v>
      </c>
      <c r="N45" s="29">
        <f t="shared" si="3"/>
        <v>2004.1800000000003</v>
      </c>
      <c r="O45" s="39">
        <f t="shared" ref="O45:O54" si="7">M45/$M$138</f>
        <v>3.4849104610097177E-3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4700.89+616.64+610.24+619.85+608+631.42+612.44+1071.56</f>
        <v>9471.0400000000009</v>
      </c>
      <c r="N46" s="29">
        <f t="shared" si="3"/>
        <v>16628.96</v>
      </c>
      <c r="O46" s="39">
        <f t="shared" si="7"/>
        <v>2.8099976308713637E-3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6.0525508993495767E-4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f>15+2240+725+367.5+3705+36+768+25</f>
        <v>7881.5</v>
      </c>
      <c r="N49" s="29">
        <f t="shared" si="3"/>
        <v>6368.5</v>
      </c>
      <c r="O49" s="39">
        <f t="shared" si="7"/>
        <v>2.3383911722168475E-3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>
        <f>378743.69+21726.93</f>
        <v>400470.62</v>
      </c>
      <c r="N50" s="29">
        <f t="shared" si="3"/>
        <v>272617.84999999998</v>
      </c>
      <c r="O50" s="39">
        <f t="shared" si="7"/>
        <v>0.1188170985903962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>
        <f>7164.11+116434.25+133833.94+5432.58+1073.18+24956.58</f>
        <v>288894.64</v>
      </c>
      <c r="N51" s="29">
        <f t="shared" si="3"/>
        <v>274848.05999999994</v>
      </c>
      <c r="O51" s="39">
        <f t="shared" si="7"/>
        <v>8.5713211428885897E-2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/>
      <c r="I52" s="29"/>
      <c r="J52" s="45"/>
      <c r="K52" s="45"/>
      <c r="L52" s="29">
        <f>C52+D52-E52+F52-G52+H52-I52+J52-K52</f>
        <v>500985.37</v>
      </c>
      <c r="M52" s="29">
        <f>10463.32+70410.62+88302.55+40613.73+25589.39+126199.79</f>
        <v>361579.39999999997</v>
      </c>
      <c r="N52" s="29">
        <f t="shared" si="3"/>
        <v>139405.97000000003</v>
      </c>
      <c r="O52" s="39">
        <f t="shared" si="7"/>
        <v>0.10727831973805295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>
        <f>800+23101.17+4780</f>
        <v>28681.17</v>
      </c>
      <c r="N53" s="29">
        <f t="shared" si="3"/>
        <v>196318.83000000002</v>
      </c>
      <c r="O53" s="39">
        <f t="shared" si="7"/>
        <v>8.5095216312695149E-3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>
        <v>219</v>
      </c>
      <c r="N54" s="29">
        <f t="shared" si="3"/>
        <v>74781</v>
      </c>
      <c r="O54" s="39">
        <f t="shared" si="7"/>
        <v>6.4975914066546921E-5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>
        <f>15000+7500+7500+7500+7500+7500+7500</f>
        <v>60000</v>
      </c>
      <c r="N55" s="29">
        <f t="shared" si="3"/>
        <v>30000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>
        <v>3068.8</v>
      </c>
      <c r="N56" s="29">
        <f t="shared" si="3"/>
        <v>1331.1999999999998</v>
      </c>
      <c r="O56" s="39">
        <f t="shared" ref="O56:O61" si="8">M56/$M$138</f>
        <v>9.1049353921195987E-4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>
        <v>1700</v>
      </c>
      <c r="N58" s="29">
        <f t="shared" si="3"/>
        <v>6050</v>
      </c>
      <c r="O58" s="39">
        <f t="shared" si="8"/>
        <v>5.0437924161246474E-4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v>170.04</v>
      </c>
      <c r="N59" s="29">
        <f t="shared" si="3"/>
        <v>6829.96</v>
      </c>
      <c r="O59" s="39">
        <f t="shared" si="8"/>
        <v>5.0449791908107941E-5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f>150+4480</f>
        <v>4630</v>
      </c>
      <c r="N60" s="29">
        <f t="shared" si="3"/>
        <v>9370</v>
      </c>
      <c r="O60" s="39">
        <f t="shared" si="8"/>
        <v>1.3736916992151244E-3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/>
      <c r="J63" s="45"/>
      <c r="K63" s="45"/>
      <c r="L63" s="29">
        <f t="shared" si="6"/>
        <v>115000</v>
      </c>
      <c r="M63" s="29">
        <f>30063.05+235.71+482.14+1990</f>
        <v>32770.899999999994</v>
      </c>
      <c r="N63" s="29">
        <f t="shared" si="3"/>
        <v>82229.100000000006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/>
      <c r="I64" s="29"/>
      <c r="J64" s="45"/>
      <c r="K64" s="45"/>
      <c r="L64" s="29">
        <f t="shared" si="6"/>
        <v>30750</v>
      </c>
      <c r="M64" s="29"/>
      <c r="N64" s="29">
        <f t="shared" si="3"/>
        <v>30750</v>
      </c>
      <c r="O64" s="39">
        <f t="shared" ref="O64:O79" si="9">M64/$M$138</f>
        <v>0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>
        <f>4909.09+4909.09+4909.09+4909.09+4909.09+4909.09+4909.09</f>
        <v>34363.630000000005</v>
      </c>
      <c r="N67" s="29">
        <f t="shared" si="3"/>
        <v>19636.369999999995</v>
      </c>
      <c r="O67" s="39">
        <f t="shared" si="9"/>
        <v>1.0195471552030202E-2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f>4500+4500+4500+4500+4500+4500+4500+4500</f>
        <v>36000</v>
      </c>
      <c r="N68" s="29">
        <f t="shared" si="3"/>
        <v>18000</v>
      </c>
      <c r="O68" s="39">
        <f t="shared" si="9"/>
        <v>1.0680972175322783E-2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>
        <v>300</v>
      </c>
      <c r="N69" s="29">
        <f t="shared" si="3"/>
        <v>7200</v>
      </c>
      <c r="O69" s="39">
        <f t="shared" si="9"/>
        <v>8.9008101461023189E-5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f>650+840</f>
        <v>1490</v>
      </c>
      <c r="N70" s="29">
        <f t="shared" si="3"/>
        <v>23050</v>
      </c>
      <c r="O70" s="39">
        <f t="shared" si="9"/>
        <v>4.4207357058974849E-4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75279.4+121070.11+58800+3000+172041.02+1000+112256.73</f>
        <v>543447.26</v>
      </c>
      <c r="N71" s="29">
        <f t="shared" si="3"/>
        <v>319852.74</v>
      </c>
      <c r="O71" s="39">
        <f t="shared" si="9"/>
        <v>0.1612373628559835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/>
      <c r="J73" s="45"/>
      <c r="K73" s="45"/>
      <c r="L73" s="29">
        <f t="shared" si="6"/>
        <v>176000</v>
      </c>
      <c r="M73" s="29"/>
      <c r="N73" s="29">
        <f t="shared" si="3"/>
        <v>176000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/>
      <c r="N74" s="29">
        <f t="shared" si="3"/>
        <v>8250</v>
      </c>
      <c r="O74" s="39">
        <f t="shared" si="9"/>
        <v>0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50.36+100.33+202.82+281.23+50.36+132.24+50.36+127.03</f>
        <v>994.73</v>
      </c>
      <c r="N75" s="29">
        <f t="shared" si="3"/>
        <v>1505.27</v>
      </c>
      <c r="O75" s="39">
        <f t="shared" si="9"/>
        <v>2.9513009588774534E-4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30+230.2+363+17298.83+13683.72+929.7+295.3+18603.67</f>
        <v>51434.42</v>
      </c>
      <c r="N76" s="29">
        <f t="shared" si="3"/>
        <v>73565.58</v>
      </c>
      <c r="O76" s="39">
        <f t="shared" si="9"/>
        <v>1.5260266913162934E-2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80+273+65.5+267.5+5785+14270.56+1200+250.59</f>
        <v>22192.149999999998</v>
      </c>
      <c r="N79" s="29">
        <f t="shared" si="3"/>
        <v>28807.850000000002</v>
      </c>
      <c r="O79" s="39">
        <f t="shared" si="9"/>
        <v>6.5842704627941517E-3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148784.1</v>
      </c>
      <c r="M83" s="29">
        <f>782.3+3384.3+2972.3+3318.7+4227.6+2430+4032.65+3133.5</f>
        <v>24281.350000000002</v>
      </c>
      <c r="N83" s="29">
        <f t="shared" si="3"/>
        <v>124502.75</v>
      </c>
      <c r="O83" s="39">
        <f t="shared" ref="O83:O119" si="11">M83/$M$138</f>
        <v>7.2041228813687188E-3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>
        <f>100+25.9+200+170</f>
        <v>495.9</v>
      </c>
      <c r="N87" s="29">
        <f t="shared" si="3"/>
        <v>4504.1000000000004</v>
      </c>
      <c r="O87" s="39">
        <f t="shared" si="11"/>
        <v>1.4713039171507133E-4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>
        <f>1260+720+1925+8881.6+4200</f>
        <v>16986.599999999999</v>
      </c>
      <c r="N88" s="29">
        <f t="shared" si="3"/>
        <v>16813.400000000001</v>
      </c>
      <c r="O88" s="39">
        <f t="shared" si="11"/>
        <v>5.039816720926054E-3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f>506.3+361.55+365.5+576.56+8+434+795.7+502.8</f>
        <v>3550.41</v>
      </c>
      <c r="N89" s="29">
        <f t="shared" si="3"/>
        <v>1699.5900000000001</v>
      </c>
      <c r="O89" s="39">
        <f t="shared" si="11"/>
        <v>1.0533841783607711E-3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f>941.5+113+924.25+970.84+257.6+1032.74+1683.54+92.4</f>
        <v>6015.87</v>
      </c>
      <c r="N90" s="29">
        <f t="shared" si="3"/>
        <v>4484.13</v>
      </c>
      <c r="O90" s="39">
        <f t="shared" si="11"/>
        <v>1.7848705577877518E-3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f>69.8+860.8+22.5+20.75+493.6+143.6+270</f>
        <v>1881.0499999999997</v>
      </c>
      <c r="N91" s="29">
        <f t="shared" si="3"/>
        <v>1168.9500000000003</v>
      </c>
      <c r="O91" s="39">
        <f t="shared" si="11"/>
        <v>5.5809563084419209E-4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/>
      <c r="N93" s="29">
        <f t="shared" si="3"/>
        <v>5500</v>
      </c>
      <c r="O93" s="39">
        <f t="shared" si="11"/>
        <v>0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>
        <f>550+360+90</f>
        <v>1000</v>
      </c>
      <c r="N94" s="29">
        <f t="shared" si="3"/>
        <v>1700</v>
      </c>
      <c r="O94" s="39">
        <f t="shared" si="11"/>
        <v>2.9669367153674396E-4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>
        <v>469</v>
      </c>
      <c r="N95" s="29">
        <f t="shared" si="3"/>
        <v>2331</v>
      </c>
      <c r="O95" s="39">
        <f t="shared" si="11"/>
        <v>1.3914933195073291E-4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f>460+700+869+440+530.02+1265.41+705+1088</f>
        <v>6057.43</v>
      </c>
      <c r="N96" s="29">
        <f t="shared" si="3"/>
        <v>2442.5699999999997</v>
      </c>
      <c r="O96" s="39">
        <f t="shared" si="11"/>
        <v>1.797201146776819E-3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>
        <f>62.5+745+50+193.98+170</f>
        <v>1221.48</v>
      </c>
      <c r="N97" s="29">
        <f t="shared" si="3"/>
        <v>4778.5200000000004</v>
      </c>
      <c r="O97" s="39">
        <f t="shared" si="11"/>
        <v>3.6240538590870202E-4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f>750+1760+486+1480.13+4725.97</f>
        <v>9202.1</v>
      </c>
      <c r="N98" s="29">
        <f t="shared" si="3"/>
        <v>8297.9</v>
      </c>
      <c r="O98" s="39">
        <f t="shared" si="11"/>
        <v>2.7302048348482716E-3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f>198.75+81+243.4+6481.27+451.44+144.44+134.1</f>
        <v>7734.4</v>
      </c>
      <c r="N99" s="29">
        <f t="shared" si="3"/>
        <v>-4734.3999999999996</v>
      </c>
      <c r="O99" s="39">
        <f t="shared" si="11"/>
        <v>2.2947475331337925E-3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f>139+605.62+27+893.78+246</f>
        <v>1911.4</v>
      </c>
      <c r="N100" s="29">
        <f t="shared" ref="N100:N137" si="12">L100-M100</f>
        <v>-411.40000000000009</v>
      </c>
      <c r="O100" s="39">
        <f t="shared" si="11"/>
        <v>5.671002837753324E-4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/>
      <c r="I101" s="29"/>
      <c r="J101" s="45"/>
      <c r="K101" s="45"/>
      <c r="L101" s="29">
        <f t="shared" si="10"/>
        <v>331653.07999999996</v>
      </c>
      <c r="M101" s="29">
        <f>69156.28+114221.15</f>
        <v>183377.43</v>
      </c>
      <c r="N101" s="29">
        <f t="shared" si="12"/>
        <v>148275.64999999997</v>
      </c>
      <c r="O101" s="39">
        <f t="shared" si="11"/>
        <v>5.4406922983672251E-2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>
        <v>581</v>
      </c>
      <c r="N104" s="29">
        <f t="shared" si="12"/>
        <v>919</v>
      </c>
      <c r="O104" s="39">
        <f t="shared" si="11"/>
        <v>1.7237902316284822E-4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>
        <v>12793.34</v>
      </c>
      <c r="N106" s="29">
        <f t="shared" si="12"/>
        <v>-12043.34</v>
      </c>
      <c r="O106" s="39">
        <f t="shared" si="11"/>
        <v>3.7957030158178879E-3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>
        <f>252.58+2571.75+376.13+473.5+167</f>
        <v>3840.96</v>
      </c>
      <c r="N108" s="29">
        <f t="shared" si="12"/>
        <v>959.04</v>
      </c>
      <c r="O108" s="39">
        <f t="shared" si="11"/>
        <v>1.1395885246257721E-3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>
        <f>3725+6961.98+31274.47+521.3</f>
        <v>42482.75</v>
      </c>
      <c r="N109" s="29">
        <f t="shared" si="12"/>
        <v>-13682.75</v>
      </c>
      <c r="O109" s="39">
        <f t="shared" si="11"/>
        <v>1.2604363074477608E-2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/>
      <c r="J110" s="45"/>
      <c r="K110" s="45"/>
      <c r="L110" s="29">
        <f t="shared" si="10"/>
        <v>1150000</v>
      </c>
      <c r="M110" s="29">
        <v>7000</v>
      </c>
      <c r="N110" s="29">
        <f t="shared" si="12"/>
        <v>1143000</v>
      </c>
      <c r="O110" s="39">
        <f t="shared" si="11"/>
        <v>2.0768557007572078E-3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f>98+23.07+136.8+564.86</f>
        <v>822.73</v>
      </c>
      <c r="N111" s="29">
        <f t="shared" si="12"/>
        <v>677.27</v>
      </c>
      <c r="O111" s="39">
        <f t="shared" si="11"/>
        <v>2.4409878438342537E-4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f>150.8+236.6+203.5+101.05+185.2+366.05+349</f>
        <v>1592.1999999999998</v>
      </c>
      <c r="N113" s="29">
        <f t="shared" si="12"/>
        <v>5007.8</v>
      </c>
      <c r="O113" s="39">
        <f t="shared" si="11"/>
        <v>4.7239566382080368E-4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>
        <f>62.64+157.34+62.55+103.94+248.09+68.15</f>
        <v>702.71</v>
      </c>
      <c r="N114" s="29">
        <f t="shared" si="12"/>
        <v>3297.29</v>
      </c>
      <c r="O114" s="39">
        <f t="shared" si="11"/>
        <v>2.0848960992558534E-4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>
        <v>4500</v>
      </c>
      <c r="N115" s="29">
        <f t="shared" si="12"/>
        <v>20751.900000000001</v>
      </c>
      <c r="O115" s="39">
        <f t="shared" si="11"/>
        <v>1.3351215219153478E-3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>
        <f>46+262+10940.08+4201.49-1512.51+1137.12</f>
        <v>15074.18</v>
      </c>
      <c r="N117" s="29">
        <f t="shared" si="12"/>
        <v>-5574.18</v>
      </c>
      <c r="O117" s="39">
        <f t="shared" si="11"/>
        <v>4.4724138096057554E-3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>
        <f>101+3685.03</f>
        <v>3786.03</v>
      </c>
      <c r="N118" s="29">
        <f t="shared" si="12"/>
        <v>72213.97</v>
      </c>
      <c r="O118" s="39">
        <f t="shared" si="11"/>
        <v>1.1232911412482588E-3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f>287+760.6+2770.11+247.15+1712.08-0.01+1077.75+819.63+1026.12</f>
        <v>8700.43</v>
      </c>
      <c r="N119" s="29">
        <f t="shared" si="12"/>
        <v>799.56999999999971</v>
      </c>
      <c r="O119" s="39">
        <f t="shared" si="11"/>
        <v>2.5813625206484335E-3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/>
      <c r="N124" s="29">
        <f t="shared" si="12"/>
        <v>10000</v>
      </c>
      <c r="O124" s="39">
        <f>M124/$M$138</f>
        <v>0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>
        <v>14992</v>
      </c>
      <c r="N128" s="29">
        <f t="shared" si="12"/>
        <v>25008</v>
      </c>
      <c r="O128" s="39">
        <f>+M128/M138</f>
        <v>4.4480315236788658E-3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>
        <v>6290</v>
      </c>
      <c r="N129" s="29">
        <f t="shared" si="12"/>
        <v>8010</v>
      </c>
      <c r="O129" s="39">
        <f>M129/$M$138</f>
        <v>1.8662031939661195E-3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>
        <v>51205.02</v>
      </c>
      <c r="N134" s="29">
        <f t="shared" si="12"/>
        <v>134694.98000000001</v>
      </c>
      <c r="O134" s="39">
        <f>M134/$M$138</f>
        <v>1.5192205384912404E-2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>
        <v>2256</v>
      </c>
      <c r="N135" s="29">
        <f t="shared" si="12"/>
        <v>4914</v>
      </c>
      <c r="O135" s="39">
        <f>M135/$M$138</f>
        <v>6.6934092298689431E-4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f>750+1500+1500+1500+1500+1500+1500+56626.94</f>
        <v>66376.94</v>
      </c>
      <c r="N136" s="29">
        <f t="shared" si="12"/>
        <v>3623.0599999999977</v>
      </c>
      <c r="O136" s="39">
        <f>M136/$M$138</f>
        <v>1.9693618033974163E-2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>
        <f>3210.77</f>
        <v>3210.77</v>
      </c>
      <c r="N137" s="29">
        <f t="shared" si="12"/>
        <v>5539.23</v>
      </c>
      <c r="O137" s="39">
        <f>M137/$M$138</f>
        <v>9.5261513976003143E-4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428653.07999999996</v>
      </c>
      <c r="E138" s="35">
        <f t="shared" si="14"/>
        <v>0</v>
      </c>
      <c r="F138" s="35">
        <f t="shared" si="14"/>
        <v>992800</v>
      </c>
      <c r="G138" s="35">
        <f t="shared" si="14"/>
        <v>992800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>SUM(L31:L137)</f>
        <v>8258523.6200000001</v>
      </c>
      <c r="M138" s="35">
        <f>SUM(M31:M137)</f>
        <v>3370479.71</v>
      </c>
      <c r="N138" s="35">
        <f t="shared" si="14"/>
        <v>4888043.9100000011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3873272.2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-3370479.71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2539429.3100000005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ht="12" customHeight="1" x14ac:dyDescent="0.2">
      <c r="A157" s="55" t="s">
        <v>269</v>
      </c>
      <c r="B157" s="53"/>
      <c r="C157" s="70">
        <v>11813.22</v>
      </c>
      <c r="D157" s="4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152</v>
      </c>
      <c r="B158" s="53"/>
      <c r="C158" s="70">
        <f>11147.57+0.01</f>
        <v>11147.58</v>
      </c>
      <c r="D158" s="80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151</v>
      </c>
      <c r="B159" s="53"/>
      <c r="C159" s="70">
        <v>1810.91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150</v>
      </c>
      <c r="B160" s="53"/>
      <c r="C160" s="70">
        <v>6135.35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270</v>
      </c>
      <c r="B161" s="53"/>
      <c r="C161" s="70">
        <v>-15</v>
      </c>
      <c r="D161" s="81"/>
      <c r="E161" s="4"/>
      <c r="F161" s="4"/>
      <c r="G161" s="4"/>
      <c r="H161" s="4"/>
      <c r="I161" s="4"/>
      <c r="J161" s="67"/>
      <c r="K161" s="67"/>
      <c r="L161" s="4"/>
    </row>
    <row r="162" spans="1:13" x14ac:dyDescent="0.2">
      <c r="A162" s="55" t="s">
        <v>237</v>
      </c>
      <c r="B162" s="53"/>
      <c r="C162" s="70"/>
      <c r="D162" s="81"/>
      <c r="E162" s="4"/>
      <c r="F162" s="4"/>
      <c r="G162" s="4"/>
      <c r="H162" s="4"/>
      <c r="I162" s="4"/>
      <c r="J162" s="67"/>
      <c r="K162" s="67"/>
      <c r="L162" s="4"/>
    </row>
    <row r="163" spans="1:13" x14ac:dyDescent="0.2">
      <c r="A163" s="55" t="s">
        <v>268</v>
      </c>
      <c r="B163" s="53"/>
      <c r="C163" s="70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1"/>
      <c r="D164" s="82"/>
      <c r="E164" s="83"/>
      <c r="F164" s="4"/>
      <c r="G164" s="4"/>
      <c r="H164" s="4"/>
      <c r="I164" s="4"/>
      <c r="J164" s="67"/>
      <c r="K164" s="67"/>
      <c r="L164" s="4"/>
    </row>
    <row r="165" spans="1:13" ht="15.75" x14ac:dyDescent="0.25">
      <c r="A165" s="56"/>
      <c r="B165" s="57"/>
      <c r="C165" s="72">
        <f>SUM(C155:C164)</f>
        <v>31214.059999999998</v>
      </c>
      <c r="D165" s="82"/>
      <c r="E165" s="83"/>
      <c r="F165" s="4"/>
      <c r="G165" s="4"/>
      <c r="H165" s="4"/>
      <c r="I165" s="4"/>
      <c r="J165" s="67"/>
      <c r="K165" s="67"/>
      <c r="L165" s="4"/>
    </row>
    <row r="166" spans="1:13" ht="2.1" customHeight="1" x14ac:dyDescent="0.25">
      <c r="A166" s="56"/>
      <c r="B166" s="57"/>
      <c r="C166" s="73"/>
      <c r="D166" s="81"/>
      <c r="E166" s="4"/>
      <c r="F166" s="4"/>
      <c r="G166" s="4"/>
      <c r="H166" s="4"/>
      <c r="I166" s="4"/>
      <c r="J166" s="67"/>
      <c r="K166" s="67"/>
      <c r="L166" s="4"/>
    </row>
    <row r="167" spans="1:13" x14ac:dyDescent="0.2">
      <c r="A167" s="55"/>
      <c r="B167" s="53"/>
      <c r="C167" s="70"/>
      <c r="D167" s="81"/>
      <c r="E167" s="4"/>
      <c r="F167" s="4"/>
      <c r="G167" s="4"/>
      <c r="H167" s="4"/>
      <c r="I167" s="4"/>
      <c r="J167" s="67"/>
      <c r="K167" s="67"/>
      <c r="L167" s="4"/>
    </row>
    <row r="168" spans="1:13" ht="2.1" customHeight="1" thickBot="1" x14ac:dyDescent="0.3">
      <c r="A168" s="58" t="s">
        <v>244</v>
      </c>
      <c r="B168" s="59"/>
      <c r="C168" s="69">
        <f>C152+C165</f>
        <v>2570643.3700000006</v>
      </c>
      <c r="D168" s="80"/>
      <c r="E168" s="4"/>
      <c r="F168" s="4"/>
      <c r="G168" s="4"/>
      <c r="H168" s="4"/>
      <c r="I168" s="4"/>
      <c r="J168" s="67"/>
      <c r="K168" s="67"/>
      <c r="L168" s="4"/>
    </row>
    <row r="169" spans="1:13" ht="9.9499999999999993" customHeight="1" x14ac:dyDescent="0.2">
      <c r="A169" s="55"/>
      <c r="B169" s="53"/>
      <c r="C169" s="70"/>
      <c r="D169" s="80"/>
      <c r="E169" s="4"/>
      <c r="F169" s="4"/>
      <c r="G169" s="4"/>
      <c r="H169" s="4"/>
      <c r="I169" s="4"/>
      <c r="J169" s="67"/>
      <c r="K169" s="67"/>
      <c r="L169" s="4"/>
    </row>
    <row r="170" spans="1:13" ht="16.5" thickBot="1" x14ac:dyDescent="0.3">
      <c r="A170" s="58" t="s">
        <v>275</v>
      </c>
      <c r="B170" s="59"/>
      <c r="C170" s="69">
        <f>C152+C165</f>
        <v>2570643.3700000006</v>
      </c>
      <c r="D170" s="82"/>
      <c r="E170" s="4"/>
      <c r="F170" s="4"/>
      <c r="G170" s="4"/>
      <c r="H170" s="4"/>
      <c r="I170" s="4"/>
      <c r="J170" s="67"/>
      <c r="K170" s="67"/>
      <c r="L170" s="4"/>
      <c r="M170" s="4"/>
    </row>
    <row r="171" spans="1:13" x14ac:dyDescent="0.2">
      <c r="A171" s="53"/>
      <c r="C171" s="4"/>
      <c r="D171" s="4"/>
      <c r="E171" s="4"/>
      <c r="F171" s="4"/>
      <c r="G171" s="4"/>
      <c r="H171" s="4"/>
      <c r="I171" s="4"/>
      <c r="J171" s="67"/>
      <c r="K171" s="67"/>
      <c r="L171" s="4"/>
    </row>
    <row r="172" spans="1:13" x14ac:dyDescent="0.2">
      <c r="C172" s="4"/>
      <c r="D172" s="4"/>
      <c r="E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67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C182" s="13" t="s">
        <v>231</v>
      </c>
      <c r="G182" s="11" t="s">
        <v>264</v>
      </c>
      <c r="J182" s="13" t="s">
        <v>240</v>
      </c>
      <c r="K182" s="75"/>
    </row>
    <row r="183" spans="2:12" x14ac:dyDescent="0.2">
      <c r="B183" s="11" t="s">
        <v>90</v>
      </c>
      <c r="C183" s="13" t="s">
        <v>91</v>
      </c>
      <c r="G183" s="11" t="s">
        <v>265</v>
      </c>
      <c r="J183" s="11" t="s">
        <v>249</v>
      </c>
    </row>
    <row r="187" spans="2:12" x14ac:dyDescent="0.2">
      <c r="I187" s="4"/>
      <c r="K187" s="67"/>
      <c r="L187" s="4"/>
    </row>
    <row r="188" spans="2:12" x14ac:dyDescent="0.2">
      <c r="I188" s="4"/>
      <c r="K188" s="67"/>
      <c r="L188" s="4"/>
    </row>
    <row r="189" spans="2:12" x14ac:dyDescent="0.2">
      <c r="G189" s="60"/>
      <c r="I189" s="60"/>
      <c r="K189" s="68"/>
      <c r="L189" s="4"/>
    </row>
    <row r="190" spans="2:12" x14ac:dyDescent="0.2">
      <c r="G190" s="60"/>
      <c r="I190" s="60"/>
      <c r="K190" s="68"/>
      <c r="L190" s="4"/>
    </row>
    <row r="191" spans="2:12" x14ac:dyDescent="0.2">
      <c r="G191" s="60"/>
      <c r="L191" s="4"/>
    </row>
    <row r="192" spans="2:12" x14ac:dyDescent="0.2">
      <c r="G192" s="60"/>
    </row>
    <row r="193" spans="7:12" x14ac:dyDescent="0.2">
      <c r="G193" s="60"/>
    </row>
    <row r="194" spans="7:12" x14ac:dyDescent="0.2">
      <c r="G194" s="60"/>
      <c r="L194" s="4"/>
    </row>
    <row r="195" spans="7:12" x14ac:dyDescent="0.2">
      <c r="G195" s="60"/>
    </row>
    <row r="196" spans="7:12" x14ac:dyDescent="0.2">
      <c r="G196" s="60"/>
    </row>
    <row r="197" spans="7:12" x14ac:dyDescent="0.2">
      <c r="G197" s="60"/>
    </row>
    <row r="198" spans="7:12" x14ac:dyDescent="0.2">
      <c r="G198" s="60"/>
    </row>
    <row r="199" spans="7:12" x14ac:dyDescent="0.2">
      <c r="G199" s="60"/>
    </row>
    <row r="200" spans="7:12" x14ac:dyDescent="0.2">
      <c r="G200" s="60"/>
    </row>
    <row r="201" spans="7:12" x14ac:dyDescent="0.2">
      <c r="G201" s="60"/>
    </row>
    <row r="202" spans="7:12" x14ac:dyDescent="0.2">
      <c r="G202" s="60"/>
    </row>
    <row r="203" spans="7:12" x14ac:dyDescent="0.2">
      <c r="G203" s="60"/>
    </row>
    <row r="204" spans="7:12" x14ac:dyDescent="0.2">
      <c r="G204" s="60"/>
    </row>
    <row r="205" spans="7:12" x14ac:dyDescent="0.2">
      <c r="G205" s="60"/>
    </row>
    <row r="206" spans="7:12" x14ac:dyDescent="0.2">
      <c r="G206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D702-E1A3-4356-A5D5-86C91CDECECA}">
  <dimension ref="A1:O206"/>
  <sheetViews>
    <sheetView zoomScaleNormal="100" workbookViewId="0">
      <selection activeCell="F14" sqref="F14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3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1"/>
      <c r="K1" s="61"/>
      <c r="L1" s="6"/>
      <c r="M1" s="6"/>
      <c r="N1" s="6"/>
      <c r="O1" s="16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1"/>
      <c r="K2" s="61"/>
      <c r="L2" s="6"/>
      <c r="M2" s="6"/>
      <c r="N2" s="6"/>
      <c r="O2" s="16"/>
    </row>
    <row r="3" spans="1:15" ht="15.75" x14ac:dyDescent="0.25">
      <c r="A3" s="6" t="s">
        <v>277</v>
      </c>
      <c r="B3" s="6"/>
      <c r="C3" s="6"/>
      <c r="D3" s="6"/>
      <c r="E3" s="6"/>
      <c r="F3" s="6"/>
      <c r="G3" s="6"/>
      <c r="H3" s="6"/>
      <c r="I3" s="6"/>
      <c r="J3" s="61"/>
      <c r="K3" s="61"/>
      <c r="L3" s="6"/>
      <c r="M3" s="6"/>
      <c r="N3" s="6"/>
      <c r="O3" s="16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1"/>
      <c r="K4" s="61"/>
      <c r="L4" s="6"/>
      <c r="M4" s="6"/>
      <c r="N4" s="6"/>
      <c r="O4" s="16"/>
    </row>
    <row r="5" spans="1:15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57"/>
      <c r="K5" s="57"/>
      <c r="L5" s="16"/>
      <c r="M5" s="16"/>
      <c r="N5" s="16"/>
      <c r="O5" s="16"/>
    </row>
    <row r="6" spans="1:15" ht="16.5" thickBot="1" x14ac:dyDescent="0.3">
      <c r="A6" s="17" t="s">
        <v>3</v>
      </c>
      <c r="B6" s="85" t="s">
        <v>4</v>
      </c>
      <c r="C6" s="17" t="s">
        <v>5</v>
      </c>
      <c r="D6" s="18" t="s">
        <v>262</v>
      </c>
      <c r="E6" s="19"/>
      <c r="F6" s="18" t="s">
        <v>6</v>
      </c>
      <c r="G6" s="19"/>
      <c r="H6" s="87" t="s">
        <v>17</v>
      </c>
      <c r="I6" s="88"/>
      <c r="J6" s="89" t="s">
        <v>243</v>
      </c>
      <c r="K6" s="90"/>
      <c r="L6" s="17" t="s">
        <v>5</v>
      </c>
      <c r="M6" s="85" t="s">
        <v>247</v>
      </c>
      <c r="N6" s="17" t="s">
        <v>8</v>
      </c>
      <c r="O6" s="17" t="s">
        <v>9</v>
      </c>
    </row>
    <row r="7" spans="1:15" ht="16.5" thickBot="1" x14ac:dyDescent="0.3">
      <c r="A7" s="20" t="s">
        <v>10</v>
      </c>
      <c r="B7" s="86"/>
      <c r="C7" s="20" t="s">
        <v>11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2" t="s">
        <v>13</v>
      </c>
      <c r="J7" s="62" t="s">
        <v>12</v>
      </c>
      <c r="K7" s="74" t="s">
        <v>13</v>
      </c>
      <c r="L7" s="20" t="s">
        <v>14</v>
      </c>
      <c r="M7" s="86"/>
      <c r="N7" s="20" t="s">
        <v>15</v>
      </c>
      <c r="O7" s="20" t="s">
        <v>16</v>
      </c>
    </row>
    <row r="8" spans="1:15" ht="15.95" customHeight="1" x14ac:dyDescent="0.25">
      <c r="A8" s="23"/>
      <c r="B8" s="23"/>
      <c r="C8" s="24"/>
      <c r="D8" s="37"/>
      <c r="E8" s="37"/>
      <c r="F8" s="37"/>
      <c r="G8" s="37"/>
      <c r="H8" s="37"/>
      <c r="I8" s="37"/>
      <c r="J8" s="63"/>
      <c r="K8" s="63"/>
      <c r="L8" s="24"/>
      <c r="M8" s="24"/>
      <c r="N8" s="24"/>
      <c r="O8" s="25"/>
    </row>
    <row r="9" spans="1:15" ht="15.95" customHeight="1" x14ac:dyDescent="0.25">
      <c r="A9" s="26"/>
      <c r="B9" s="26" t="s">
        <v>182</v>
      </c>
      <c r="C9" s="29"/>
      <c r="D9" s="29"/>
      <c r="E9" s="29"/>
      <c r="F9" s="29"/>
      <c r="G9" s="29"/>
      <c r="H9" s="29"/>
      <c r="I9" s="29"/>
      <c r="J9" s="45"/>
      <c r="K9" s="45"/>
      <c r="L9" s="29"/>
      <c r="M9" s="29"/>
      <c r="N9" s="29"/>
      <c r="O9" s="28"/>
    </row>
    <row r="10" spans="1:15" ht="15.95" customHeight="1" x14ac:dyDescent="0.25">
      <c r="A10" s="30" t="s">
        <v>18</v>
      </c>
      <c r="B10" s="30" t="s">
        <v>183</v>
      </c>
      <c r="C10" s="29">
        <v>37000</v>
      </c>
      <c r="D10" s="29"/>
      <c r="E10" s="29"/>
      <c r="F10" s="29"/>
      <c r="G10" s="29"/>
      <c r="H10" s="29"/>
      <c r="I10" s="29"/>
      <c r="J10" s="45"/>
      <c r="K10" s="45"/>
      <c r="L10" s="29">
        <f t="shared" ref="L10:L22" si="0">C10+D10-E10+F10-G10+J10-K10</f>
        <v>37000</v>
      </c>
      <c r="M10" s="29">
        <f>15000+6800+2800+200+400+400+1000+650+450</f>
        <v>27700</v>
      </c>
      <c r="N10" s="29">
        <f t="shared" ref="N10:N22" si="1">L10-M10</f>
        <v>9300</v>
      </c>
      <c r="O10" s="28">
        <f>M10/$M$26</f>
        <v>6.6870592360395971E-3</v>
      </c>
    </row>
    <row r="11" spans="1:15" ht="15.95" hidden="1" customHeight="1" x14ac:dyDescent="0.25">
      <c r="A11" s="30" t="s">
        <v>28</v>
      </c>
      <c r="B11" s="30" t="s">
        <v>29</v>
      </c>
      <c r="C11" s="29">
        <v>0</v>
      </c>
      <c r="D11" s="29"/>
      <c r="E11" s="29"/>
      <c r="F11" s="29"/>
      <c r="G11" s="29"/>
      <c r="H11" s="29"/>
      <c r="I11" s="29"/>
      <c r="J11" s="45"/>
      <c r="K11" s="45"/>
      <c r="L11" s="29">
        <f t="shared" si="0"/>
        <v>0</v>
      </c>
      <c r="M11" s="29"/>
      <c r="N11" s="29">
        <v>0</v>
      </c>
      <c r="O11" s="28"/>
    </row>
    <row r="12" spans="1:15" ht="15.95" customHeight="1" x14ac:dyDescent="0.25">
      <c r="A12" s="30" t="s">
        <v>19</v>
      </c>
      <c r="B12" s="30" t="s">
        <v>184</v>
      </c>
      <c r="C12" s="29">
        <v>30500</v>
      </c>
      <c r="D12" s="29"/>
      <c r="E12" s="29"/>
      <c r="F12" s="29"/>
      <c r="G12" s="29"/>
      <c r="H12" s="29"/>
      <c r="I12" s="29"/>
      <c r="J12" s="45"/>
      <c r="K12" s="45"/>
      <c r="L12" s="29">
        <f t="shared" si="0"/>
        <v>30500</v>
      </c>
      <c r="M12" s="29">
        <f>3395+3655+2040+4065+3690+3255+3810+10145</f>
        <v>34055</v>
      </c>
      <c r="N12" s="29">
        <f t="shared" si="1"/>
        <v>-3555</v>
      </c>
      <c r="O12" s="28">
        <f>M12/$M$26</f>
        <v>8.2212202990371297E-3</v>
      </c>
    </row>
    <row r="13" spans="1:15" ht="15.95" customHeight="1" x14ac:dyDescent="0.25">
      <c r="A13" s="30" t="s">
        <v>20</v>
      </c>
      <c r="B13" s="30" t="s">
        <v>185</v>
      </c>
      <c r="C13" s="29">
        <v>3500</v>
      </c>
      <c r="D13" s="29"/>
      <c r="E13" s="29"/>
      <c r="F13" s="29"/>
      <c r="G13" s="29"/>
      <c r="H13" s="29"/>
      <c r="I13" s="29"/>
      <c r="J13" s="45"/>
      <c r="K13" s="45"/>
      <c r="L13" s="29">
        <f t="shared" si="0"/>
        <v>3500</v>
      </c>
      <c r="M13" s="29"/>
      <c r="N13" s="29">
        <f t="shared" si="1"/>
        <v>3500</v>
      </c>
      <c r="O13" s="28">
        <f>M13/$M$26</f>
        <v>0</v>
      </c>
    </row>
    <row r="14" spans="1:15" ht="15.95" customHeight="1" x14ac:dyDescent="0.25">
      <c r="A14" s="30"/>
      <c r="B14" s="26" t="s">
        <v>186</v>
      </c>
      <c r="C14" s="29"/>
      <c r="D14" s="29"/>
      <c r="E14" s="29"/>
      <c r="F14" s="29"/>
      <c r="G14" s="29"/>
      <c r="H14" s="29"/>
      <c r="I14" s="29"/>
      <c r="J14" s="45"/>
      <c r="K14" s="45"/>
      <c r="L14" s="29"/>
      <c r="M14" s="29"/>
      <c r="N14" s="29"/>
      <c r="O14" s="28"/>
    </row>
    <row r="15" spans="1:15" ht="15.95" customHeight="1" x14ac:dyDescent="0.25">
      <c r="A15" s="30" t="s">
        <v>187</v>
      </c>
      <c r="B15" s="30" t="s">
        <v>236</v>
      </c>
      <c r="C15" s="29">
        <v>8800</v>
      </c>
      <c r="D15" s="29"/>
      <c r="E15" s="29"/>
      <c r="F15" s="29"/>
      <c r="G15" s="29"/>
      <c r="H15" s="29"/>
      <c r="I15" s="29"/>
      <c r="J15" s="45"/>
      <c r="K15" s="45"/>
      <c r="L15" s="29">
        <f t="shared" si="0"/>
        <v>8800</v>
      </c>
      <c r="M15" s="29">
        <f>1190.19+1066.17+1152.99+1192.01+991.39+751.35+820.8+845.14+946.88</f>
        <v>8956.9200000000019</v>
      </c>
      <c r="N15" s="29">
        <f t="shared" si="1"/>
        <v>-156.92000000000189</v>
      </c>
      <c r="O15" s="28">
        <f>M15/$M$26</f>
        <v>2.1622907802334949E-3</v>
      </c>
    </row>
    <row r="16" spans="1:15" ht="15.95" customHeight="1" x14ac:dyDescent="0.25">
      <c r="A16" s="26" t="s">
        <v>233</v>
      </c>
      <c r="B16" s="26" t="s">
        <v>234</v>
      </c>
      <c r="C16" s="29"/>
      <c r="D16" s="29"/>
      <c r="E16" s="29"/>
      <c r="F16" s="29"/>
      <c r="G16" s="29"/>
      <c r="H16" s="29"/>
      <c r="I16" s="29"/>
      <c r="J16" s="45"/>
      <c r="K16" s="45"/>
      <c r="L16" s="29"/>
      <c r="M16" s="29"/>
      <c r="N16" s="29"/>
      <c r="O16" s="28"/>
    </row>
    <row r="17" spans="1:15" ht="15.95" customHeight="1" x14ac:dyDescent="0.25">
      <c r="A17" s="26" t="s">
        <v>235</v>
      </c>
      <c r="B17" s="26" t="s">
        <v>232</v>
      </c>
      <c r="C17" s="79">
        <v>0</v>
      </c>
      <c r="D17" s="29"/>
      <c r="E17" s="29"/>
      <c r="F17" s="29"/>
      <c r="G17" s="29"/>
      <c r="H17" s="29"/>
      <c r="I17" s="29"/>
      <c r="J17" s="45"/>
      <c r="K17" s="45"/>
      <c r="L17" s="29"/>
      <c r="M17" s="29"/>
      <c r="N17" s="29"/>
      <c r="O17" s="28"/>
    </row>
    <row r="18" spans="1:15" ht="15.95" customHeight="1" x14ac:dyDescent="0.25">
      <c r="A18" s="30" t="s">
        <v>21</v>
      </c>
      <c r="B18" s="30" t="s">
        <v>22</v>
      </c>
      <c r="C18" s="29">
        <v>3241296.44</v>
      </c>
      <c r="D18" s="29">
        <v>428653.08</v>
      </c>
      <c r="E18" s="29"/>
      <c r="F18" s="29"/>
      <c r="G18" s="29"/>
      <c r="H18" s="29"/>
      <c r="I18" s="29"/>
      <c r="J18" s="45"/>
      <c r="K18" s="45"/>
      <c r="L18" s="29">
        <f>C18+D18-E18+F18-G18+J18-K18</f>
        <v>3669949.52</v>
      </c>
      <c r="M18" s="29">
        <f>249709.38+249709.38+360686.22+256701.66+256701.66+256701.66+312274.32+256701.66+312274.32</f>
        <v>2511460.2599999998</v>
      </c>
      <c r="N18" s="29">
        <f t="shared" si="1"/>
        <v>1158489.2600000002</v>
      </c>
      <c r="O18" s="28">
        <f>M18/$M$26</f>
        <v>0.60629182410033966</v>
      </c>
    </row>
    <row r="19" spans="1:15" ht="15.95" hidden="1" customHeight="1" x14ac:dyDescent="0.25">
      <c r="A19" s="30" t="s">
        <v>23</v>
      </c>
      <c r="B19" s="30" t="s">
        <v>31</v>
      </c>
      <c r="C19" s="29">
        <v>0</v>
      </c>
      <c r="D19" s="29"/>
      <c r="E19" s="29"/>
      <c r="F19" s="29"/>
      <c r="G19" s="29"/>
      <c r="H19" s="29"/>
      <c r="I19" s="29"/>
      <c r="J19" s="45"/>
      <c r="K19" s="45"/>
      <c r="L19" s="29">
        <f t="shared" si="0"/>
        <v>0</v>
      </c>
      <c r="M19" s="29"/>
      <c r="N19" s="29">
        <f t="shared" si="1"/>
        <v>0</v>
      </c>
      <c r="O19" s="28">
        <f>M19/$M$26</f>
        <v>0</v>
      </c>
    </row>
    <row r="20" spans="1:15" ht="15.95" customHeight="1" x14ac:dyDescent="0.25">
      <c r="A20" s="30" t="s">
        <v>24</v>
      </c>
      <c r="B20" s="30" t="s">
        <v>25</v>
      </c>
      <c r="C20" s="29">
        <v>2685493.4</v>
      </c>
      <c r="D20" s="29"/>
      <c r="E20" s="29"/>
      <c r="F20" s="29"/>
      <c r="G20" s="29"/>
      <c r="H20" s="29"/>
      <c r="I20" s="29"/>
      <c r="J20" s="45"/>
      <c r="K20" s="45"/>
      <c r="L20" s="29">
        <f t="shared" si="0"/>
        <v>2685493.4</v>
      </c>
      <c r="M20" s="29">
        <f>463102.27+457387.6-20220.24+68514+57492.44+40714+497739.79+27188.9-54759.31</f>
        <v>1537159.45</v>
      </c>
      <c r="N20" s="29">
        <f t="shared" si="1"/>
        <v>1148333.95</v>
      </c>
      <c r="O20" s="28">
        <f>M20/$M$26</f>
        <v>0.37108578690931582</v>
      </c>
    </row>
    <row r="21" spans="1:15" ht="15.95" customHeight="1" x14ac:dyDescent="0.25">
      <c r="A21" s="30" t="s">
        <v>26</v>
      </c>
      <c r="B21" s="30" t="s">
        <v>27</v>
      </c>
      <c r="C21" s="29">
        <v>20000</v>
      </c>
      <c r="D21" s="29"/>
      <c r="E21" s="29"/>
      <c r="F21" s="29"/>
      <c r="G21" s="29"/>
      <c r="H21" s="29"/>
      <c r="I21" s="29"/>
      <c r="J21" s="45"/>
      <c r="K21" s="45"/>
      <c r="L21" s="29">
        <f t="shared" si="0"/>
        <v>20000</v>
      </c>
      <c r="M21" s="29"/>
      <c r="N21" s="29">
        <f t="shared" si="1"/>
        <v>20000</v>
      </c>
      <c r="O21" s="28">
        <f>M21/$M$26</f>
        <v>0</v>
      </c>
    </row>
    <row r="22" spans="1:15" ht="15.95" customHeight="1" x14ac:dyDescent="0.25">
      <c r="A22" s="31" t="s">
        <v>30</v>
      </c>
      <c r="B22" s="31" t="s">
        <v>32</v>
      </c>
      <c r="C22" s="32">
        <v>50000</v>
      </c>
      <c r="D22" s="32"/>
      <c r="E22" s="32"/>
      <c r="F22" s="32"/>
      <c r="G22" s="32"/>
      <c r="H22" s="32"/>
      <c r="I22" s="32"/>
      <c r="J22" s="64"/>
      <c r="K22" s="64"/>
      <c r="L22" s="29">
        <f t="shared" si="0"/>
        <v>50000</v>
      </c>
      <c r="M22" s="29">
        <v>22997.46</v>
      </c>
      <c r="N22" s="29">
        <f t="shared" si="1"/>
        <v>27002.54</v>
      </c>
      <c r="O22" s="28">
        <f>M22/$M$26</f>
        <v>5.5518186750343392E-3</v>
      </c>
    </row>
    <row r="23" spans="1:15" ht="15.95" customHeight="1" x14ac:dyDescent="0.25">
      <c r="A23" s="26"/>
      <c r="B23" s="26" t="s">
        <v>188</v>
      </c>
      <c r="C23" s="27"/>
      <c r="D23" s="29"/>
      <c r="E23" s="29"/>
      <c r="F23" s="29"/>
      <c r="G23" s="29"/>
      <c r="H23" s="29"/>
      <c r="I23" s="29"/>
      <c r="J23" s="45"/>
      <c r="K23" s="45"/>
      <c r="L23" s="27"/>
      <c r="M23" s="29"/>
      <c r="N23" s="27"/>
      <c r="O23" s="28"/>
    </row>
    <row r="24" spans="1:15" ht="15.95" customHeight="1" x14ac:dyDescent="0.25">
      <c r="A24" s="30" t="s">
        <v>191</v>
      </c>
      <c r="B24" s="30" t="s">
        <v>192</v>
      </c>
      <c r="C24" s="29">
        <v>260547.84</v>
      </c>
      <c r="D24" s="29"/>
      <c r="E24" s="29"/>
      <c r="F24" s="29"/>
      <c r="G24" s="29"/>
      <c r="H24" s="29"/>
      <c r="I24" s="29"/>
      <c r="J24" s="45"/>
      <c r="K24" s="45"/>
      <c r="L24" s="29">
        <f>C24+D24-E24+F24-G24+J24-K24</f>
        <v>260547.84</v>
      </c>
      <c r="M24" s="29"/>
      <c r="N24" s="29">
        <f>L24-M24</f>
        <v>260547.84</v>
      </c>
      <c r="O24" s="28">
        <f>M24/$M$26</f>
        <v>0</v>
      </c>
    </row>
    <row r="25" spans="1:15" ht="15.95" customHeight="1" thickBot="1" x14ac:dyDescent="0.3">
      <c r="A25" s="30" t="s">
        <v>190</v>
      </c>
      <c r="B25" s="30" t="s">
        <v>189</v>
      </c>
      <c r="C25" s="29">
        <v>1492732.86</v>
      </c>
      <c r="D25" s="29"/>
      <c r="E25" s="29"/>
      <c r="F25" s="29"/>
      <c r="G25" s="29"/>
      <c r="H25" s="29"/>
      <c r="I25" s="29"/>
      <c r="J25" s="45"/>
      <c r="K25" s="45"/>
      <c r="L25" s="29">
        <f>C25+D25-E25+F25-G25+J25-K25</f>
        <v>1492732.86</v>
      </c>
      <c r="M25" s="29"/>
      <c r="N25" s="29">
        <f>L25-M25</f>
        <v>1492732.86</v>
      </c>
      <c r="O25" s="28">
        <f>M25/$M$26</f>
        <v>0</v>
      </c>
    </row>
    <row r="26" spans="1:15" ht="18" customHeight="1" thickBot="1" x14ac:dyDescent="0.3">
      <c r="A26" s="33"/>
      <c r="B26" s="34" t="s">
        <v>33</v>
      </c>
      <c r="C26" s="35">
        <f>SUM(C9:C25)</f>
        <v>7829870.54</v>
      </c>
      <c r="D26" s="35">
        <f t="shared" ref="D26:N26" si="2">SUM(D9:D25)</f>
        <v>428653.08</v>
      </c>
      <c r="E26" s="35">
        <f t="shared" si="2"/>
        <v>0</v>
      </c>
      <c r="F26" s="35">
        <f t="shared" si="2"/>
        <v>0</v>
      </c>
      <c r="G26" s="35">
        <f t="shared" si="2"/>
        <v>0</v>
      </c>
      <c r="H26" s="35">
        <f t="shared" si="2"/>
        <v>0</v>
      </c>
      <c r="I26" s="35">
        <f t="shared" si="2"/>
        <v>0</v>
      </c>
      <c r="J26" s="35">
        <f t="shared" si="2"/>
        <v>0</v>
      </c>
      <c r="K26" s="35">
        <f t="shared" si="2"/>
        <v>0</v>
      </c>
      <c r="L26" s="35">
        <f t="shared" si="2"/>
        <v>8258523.6200000001</v>
      </c>
      <c r="M26" s="35">
        <f>SUM(M10:M25)</f>
        <v>4142329.09</v>
      </c>
      <c r="N26" s="35">
        <f t="shared" si="2"/>
        <v>4116194.5300000003</v>
      </c>
      <c r="O26" s="28"/>
    </row>
    <row r="27" spans="1:15" ht="15.95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63"/>
      <c r="K27" s="63"/>
      <c r="L27" s="37"/>
      <c r="M27" s="37"/>
      <c r="N27" s="37"/>
      <c r="O27" s="38"/>
    </row>
    <row r="28" spans="1:15" ht="15.95" customHeight="1" x14ac:dyDescent="0.25">
      <c r="A28" s="26" t="s">
        <v>34</v>
      </c>
      <c r="B28" s="26" t="s">
        <v>35</v>
      </c>
      <c r="C28" s="27"/>
      <c r="D28" s="29"/>
      <c r="E28" s="29"/>
      <c r="F28" s="29"/>
      <c r="G28" s="29"/>
      <c r="H28" s="29"/>
      <c r="I28" s="29"/>
      <c r="J28" s="45"/>
      <c r="K28" s="45"/>
      <c r="L28" s="29"/>
      <c r="M28" s="29"/>
      <c r="N28" s="29"/>
      <c r="O28" s="39"/>
    </row>
    <row r="29" spans="1:15" ht="15.95" customHeight="1" x14ac:dyDescent="0.25">
      <c r="A29" s="26"/>
      <c r="B29" s="26"/>
      <c r="C29" s="27"/>
      <c r="D29" s="29"/>
      <c r="E29" s="29"/>
      <c r="F29" s="29"/>
      <c r="G29" s="29"/>
      <c r="H29" s="29"/>
      <c r="I29" s="29"/>
      <c r="J29" s="45"/>
      <c r="K29" s="45"/>
      <c r="L29" s="29"/>
      <c r="M29" s="29"/>
      <c r="N29" s="29"/>
      <c r="O29" s="39"/>
    </row>
    <row r="30" spans="1:15" ht="15.95" customHeight="1" x14ac:dyDescent="0.25">
      <c r="A30" s="40">
        <v>0</v>
      </c>
      <c r="B30" s="41" t="s">
        <v>36</v>
      </c>
      <c r="C30" s="27"/>
      <c r="D30" s="29"/>
      <c r="E30" s="29"/>
      <c r="F30" s="45"/>
      <c r="G30" s="45"/>
      <c r="H30" s="29"/>
      <c r="I30" s="29"/>
      <c r="J30" s="45"/>
      <c r="K30" s="45"/>
      <c r="L30" s="29"/>
      <c r="M30" s="29"/>
      <c r="N30" s="29"/>
      <c r="O30" s="39"/>
    </row>
    <row r="31" spans="1:15" ht="15.95" customHeight="1" x14ac:dyDescent="0.2">
      <c r="A31" s="42" t="s">
        <v>37</v>
      </c>
      <c r="B31" s="30" t="s">
        <v>154</v>
      </c>
      <c r="C31" s="29">
        <v>814572.04</v>
      </c>
      <c r="D31" s="29"/>
      <c r="E31" s="29"/>
      <c r="F31" s="45"/>
      <c r="G31" s="45"/>
      <c r="H31" s="29"/>
      <c r="I31" s="29"/>
      <c r="J31" s="45"/>
      <c r="K31" s="45"/>
      <c r="L31" s="29">
        <f>C31+D31-E31+F31-G31+H31-I31+J31-K31</f>
        <v>814572.04</v>
      </c>
      <c r="M31" s="29">
        <f>62454.4+62454.4+62454.4+62454.4+62454.4+62454.4+61326.4+62436.4+62436.4</f>
        <v>560925.60000000009</v>
      </c>
      <c r="N31" s="29">
        <f t="shared" ref="N31:N99" si="3">L31-M31</f>
        <v>253646.43999999994</v>
      </c>
      <c r="O31" s="39">
        <f>M31/$M$138</f>
        <v>0.15037849617766644</v>
      </c>
    </row>
    <row r="32" spans="1:15" ht="15.95" customHeight="1" x14ac:dyDescent="0.2">
      <c r="A32" s="42" t="s">
        <v>38</v>
      </c>
      <c r="B32" s="30" t="s">
        <v>155</v>
      </c>
      <c r="C32" s="29">
        <v>13700</v>
      </c>
      <c r="D32" s="29"/>
      <c r="E32" s="29"/>
      <c r="F32" s="45"/>
      <c r="G32" s="45"/>
      <c r="H32" s="29"/>
      <c r="I32" s="29"/>
      <c r="J32" s="45"/>
      <c r="K32" s="45"/>
      <c r="L32" s="29">
        <f>C32+D32-E32+F32-G32+H32-I32+J32-K32</f>
        <v>13700</v>
      </c>
      <c r="M32" s="29">
        <f>1125+1125+1125+1125+1125+1125+1125+1125+1125</f>
        <v>10125</v>
      </c>
      <c r="N32" s="29">
        <f t="shared" si="3"/>
        <v>3575</v>
      </c>
      <c r="O32" s="39">
        <f>M32/$M$138</f>
        <v>2.7144103849046511E-3</v>
      </c>
    </row>
    <row r="33" spans="1:15" ht="15.95" customHeight="1" x14ac:dyDescent="0.2">
      <c r="A33" s="42" t="s">
        <v>39</v>
      </c>
      <c r="B33" s="30" t="s">
        <v>156</v>
      </c>
      <c r="C33" s="29">
        <v>311100</v>
      </c>
      <c r="D33" s="29"/>
      <c r="E33" s="29"/>
      <c r="F33" s="45"/>
      <c r="G33" s="45"/>
      <c r="H33" s="29"/>
      <c r="I33" s="29"/>
      <c r="J33" s="45"/>
      <c r="K33" s="45"/>
      <c r="L33" s="29">
        <f t="shared" ref="L33:L41" si="4">C33+D33-E33+F33-G33+H33-I33+J33-K33</f>
        <v>311100</v>
      </c>
      <c r="M33" s="29">
        <f>22349+22349+22349+22349+22349+22349+22937.25+21049+21049</f>
        <v>199129.25</v>
      </c>
      <c r="N33" s="29">
        <f t="shared" si="3"/>
        <v>111970.75</v>
      </c>
      <c r="O33" s="39">
        <f>M33/$M$138</f>
        <v>5.3384543618595015E-2</v>
      </c>
    </row>
    <row r="34" spans="1:15" ht="15.95" customHeight="1" x14ac:dyDescent="0.2">
      <c r="A34" s="42" t="s">
        <v>250</v>
      </c>
      <c r="B34" s="30" t="s">
        <v>251</v>
      </c>
      <c r="C34" s="29">
        <v>646800</v>
      </c>
      <c r="D34" s="29"/>
      <c r="E34" s="29"/>
      <c r="F34" s="45"/>
      <c r="G34" s="45">
        <v>492800</v>
      </c>
      <c r="H34" s="29"/>
      <c r="I34" s="29"/>
      <c r="J34" s="45"/>
      <c r="K34" s="45"/>
      <c r="L34" s="29">
        <f t="shared" si="4"/>
        <v>154000</v>
      </c>
      <c r="M34" s="29">
        <f>17142.84+17142.84+17142.84+17142.84+17142.84+17142.84+17142.94+15000</f>
        <v>134999.97999999998</v>
      </c>
      <c r="N34" s="29">
        <f t="shared" si="3"/>
        <v>19000.020000000019</v>
      </c>
      <c r="O34" s="39">
        <f>M34/$M$138</f>
        <v>3.6192133103597056E-2</v>
      </c>
    </row>
    <row r="35" spans="1:15" ht="15.95" customHeight="1" x14ac:dyDescent="0.2">
      <c r="A35" s="42" t="s">
        <v>40</v>
      </c>
      <c r="B35" s="30" t="s">
        <v>41</v>
      </c>
      <c r="C35" s="29">
        <v>17500</v>
      </c>
      <c r="D35" s="29"/>
      <c r="E35" s="29"/>
      <c r="F35" s="45"/>
      <c r="G35" s="45"/>
      <c r="H35" s="29"/>
      <c r="I35" s="29"/>
      <c r="J35" s="45"/>
      <c r="K35" s="45"/>
      <c r="L35" s="29">
        <f t="shared" si="4"/>
        <v>17500</v>
      </c>
      <c r="M35" s="29"/>
      <c r="N35" s="29">
        <f t="shared" si="3"/>
        <v>17500</v>
      </c>
      <c r="O35" s="39">
        <f t="shared" ref="O35:O41" si="5">M35/$M$138</f>
        <v>0</v>
      </c>
    </row>
    <row r="36" spans="1:15" ht="15.95" customHeight="1" x14ac:dyDescent="0.2">
      <c r="A36" s="42" t="s">
        <v>42</v>
      </c>
      <c r="B36" s="30" t="s">
        <v>157</v>
      </c>
      <c r="C36" s="29">
        <v>34510.800000000003</v>
      </c>
      <c r="D36" s="29"/>
      <c r="E36" s="29"/>
      <c r="F36" s="45"/>
      <c r="G36" s="45"/>
      <c r="H36" s="29"/>
      <c r="I36" s="29"/>
      <c r="J36" s="45"/>
      <c r="K36" s="45"/>
      <c r="L36" s="29">
        <f t="shared" si="4"/>
        <v>34510.800000000003</v>
      </c>
      <c r="M36" s="29">
        <f>3985.95+1853.84+1927.62+3390.46+5053.81+1259.19+5124.71+4421.55</f>
        <v>27017.129999999997</v>
      </c>
      <c r="N36" s="29">
        <f t="shared" si="3"/>
        <v>7493.6700000000055</v>
      </c>
      <c r="O36" s="39">
        <f t="shared" si="5"/>
        <v>7.2430200733154563E-3</v>
      </c>
    </row>
    <row r="37" spans="1:15" ht="15.95" customHeight="1" x14ac:dyDescent="0.2">
      <c r="A37" s="42" t="s">
        <v>43</v>
      </c>
      <c r="B37" s="30" t="s">
        <v>158</v>
      </c>
      <c r="C37" s="29">
        <v>87401.15</v>
      </c>
      <c r="D37" s="29"/>
      <c r="E37" s="29"/>
      <c r="F37" s="45"/>
      <c r="G37" s="45"/>
      <c r="H37" s="29"/>
      <c r="I37" s="29"/>
      <c r="J37" s="45"/>
      <c r="K37" s="45"/>
      <c r="L37" s="29">
        <f t="shared" si="4"/>
        <v>87401.15</v>
      </c>
      <c r="M37" s="29">
        <f>6663.88+7089.19+6861.69+6869.56+7025.65+7203.13+6918.6+7208.77+7133.74</f>
        <v>62974.21</v>
      </c>
      <c r="N37" s="29">
        <f t="shared" si="3"/>
        <v>24426.939999999995</v>
      </c>
      <c r="O37" s="39">
        <f t="shared" si="5"/>
        <v>1.6882750578288034E-2</v>
      </c>
    </row>
    <row r="38" spans="1:15" ht="15.95" customHeight="1" x14ac:dyDescent="0.2">
      <c r="A38" s="42" t="s">
        <v>44</v>
      </c>
      <c r="B38" s="30" t="s">
        <v>159</v>
      </c>
      <c r="C38" s="29">
        <v>8190.84</v>
      </c>
      <c r="D38" s="29"/>
      <c r="E38" s="29"/>
      <c r="F38" s="45"/>
      <c r="G38" s="45"/>
      <c r="H38" s="29"/>
      <c r="I38" s="29"/>
      <c r="J38" s="45"/>
      <c r="K38" s="45"/>
      <c r="L38" s="29">
        <f t="shared" si="4"/>
        <v>8190.84</v>
      </c>
      <c r="M38" s="29">
        <f>624.54+664.4+643.08+643.82+658.45+675.08+648.42+675.61+668.58</f>
        <v>5901.98</v>
      </c>
      <c r="N38" s="29">
        <f t="shared" si="3"/>
        <v>2288.8600000000006</v>
      </c>
      <c r="O38" s="39">
        <f t="shared" si="5"/>
        <v>1.5822613139258818E-3</v>
      </c>
    </row>
    <row r="39" spans="1:15" ht="15.95" customHeight="1" x14ac:dyDescent="0.2">
      <c r="A39" s="42" t="s">
        <v>45</v>
      </c>
      <c r="B39" s="30" t="s">
        <v>46</v>
      </c>
      <c r="C39" s="29">
        <v>67581.009999999995</v>
      </c>
      <c r="D39" s="29"/>
      <c r="E39" s="29"/>
      <c r="F39" s="45"/>
      <c r="G39" s="45"/>
      <c r="H39" s="29"/>
      <c r="I39" s="29"/>
      <c r="J39" s="45"/>
      <c r="K39" s="45"/>
      <c r="L39" s="29">
        <f t="shared" si="4"/>
        <v>67581.009999999995</v>
      </c>
      <c r="M39" s="29">
        <v>4394.5600000000004</v>
      </c>
      <c r="N39" s="29">
        <f t="shared" si="3"/>
        <v>63186.45</v>
      </c>
      <c r="O39" s="39">
        <f t="shared" si="5"/>
        <v>1.1781372149221318E-3</v>
      </c>
    </row>
    <row r="40" spans="1:15" ht="15.95" customHeight="1" x14ac:dyDescent="0.2">
      <c r="A40" s="42" t="s">
        <v>47</v>
      </c>
      <c r="B40" s="30" t="s">
        <v>160</v>
      </c>
      <c r="C40" s="29">
        <v>67581.009999999995</v>
      </c>
      <c r="D40" s="29"/>
      <c r="E40" s="29"/>
      <c r="F40" s="45"/>
      <c r="G40" s="45"/>
      <c r="H40" s="29"/>
      <c r="I40" s="29"/>
      <c r="J40" s="45"/>
      <c r="K40" s="45"/>
      <c r="L40" s="29">
        <f t="shared" si="4"/>
        <v>67581.009999999995</v>
      </c>
      <c r="M40" s="29">
        <v>62683.92</v>
      </c>
      <c r="N40" s="29">
        <f t="shared" si="3"/>
        <v>4897.0899999999965</v>
      </c>
      <c r="O40" s="39">
        <f t="shared" si="5"/>
        <v>1.680492675699085E-2</v>
      </c>
    </row>
    <row r="41" spans="1:15" ht="15.95" customHeight="1" x14ac:dyDescent="0.2">
      <c r="A41" s="42" t="s">
        <v>48</v>
      </c>
      <c r="B41" s="30" t="s">
        <v>49</v>
      </c>
      <c r="C41" s="29">
        <v>4400</v>
      </c>
      <c r="D41" s="29"/>
      <c r="E41" s="29"/>
      <c r="F41" s="45"/>
      <c r="G41" s="45"/>
      <c r="H41" s="29"/>
      <c r="I41" s="29"/>
      <c r="J41" s="45"/>
      <c r="K41" s="45"/>
      <c r="L41" s="29">
        <f t="shared" si="4"/>
        <v>4400</v>
      </c>
      <c r="M41" s="29">
        <v>225.75</v>
      </c>
      <c r="N41" s="29">
        <f t="shared" si="3"/>
        <v>4174.25</v>
      </c>
      <c r="O41" s="39">
        <f t="shared" si="5"/>
        <v>6.0521298211577779E-5</v>
      </c>
    </row>
    <row r="42" spans="1:15" ht="15.95" customHeight="1" x14ac:dyDescent="0.2">
      <c r="A42" s="42"/>
      <c r="B42" s="30"/>
      <c r="C42" s="29"/>
      <c r="D42" s="29"/>
      <c r="E42" s="29"/>
      <c r="F42" s="45"/>
      <c r="G42" s="45"/>
      <c r="H42" s="29"/>
      <c r="I42" s="29"/>
      <c r="J42" s="45"/>
      <c r="K42" s="45"/>
      <c r="L42" s="29"/>
      <c r="M42" s="29"/>
      <c r="N42" s="29"/>
      <c r="O42" s="39"/>
    </row>
    <row r="43" spans="1:15" ht="15.95" customHeight="1" x14ac:dyDescent="0.2">
      <c r="A43" s="42"/>
      <c r="B43" s="30"/>
      <c r="C43" s="29"/>
      <c r="D43" s="29"/>
      <c r="E43" s="29"/>
      <c r="F43" s="45"/>
      <c r="G43" s="45"/>
      <c r="H43" s="29"/>
      <c r="I43" s="29"/>
      <c r="J43" s="45"/>
      <c r="K43" s="45"/>
      <c r="L43" s="29"/>
      <c r="M43" s="29"/>
      <c r="N43" s="29"/>
      <c r="O43" s="39"/>
    </row>
    <row r="44" spans="1:15" ht="15.95" customHeight="1" x14ac:dyDescent="0.25">
      <c r="A44" s="40">
        <v>1</v>
      </c>
      <c r="B44" s="41" t="s">
        <v>50</v>
      </c>
      <c r="C44" s="27"/>
      <c r="D44" s="29"/>
      <c r="E44" s="29"/>
      <c r="F44" s="45"/>
      <c r="G44" s="45"/>
      <c r="H44" s="29"/>
      <c r="I44" s="29"/>
      <c r="J44" s="45"/>
      <c r="K44" s="45"/>
      <c r="L44" s="29"/>
      <c r="M44" s="29"/>
      <c r="N44" s="29"/>
      <c r="O44" s="39"/>
    </row>
    <row r="45" spans="1:15" ht="15.95" customHeight="1" x14ac:dyDescent="0.2">
      <c r="A45" s="42" t="s">
        <v>93</v>
      </c>
      <c r="B45" s="30" t="s">
        <v>51</v>
      </c>
      <c r="C45" s="29">
        <v>13750</v>
      </c>
      <c r="D45" s="29"/>
      <c r="E45" s="29"/>
      <c r="F45" s="45"/>
      <c r="G45" s="45"/>
      <c r="H45" s="29"/>
      <c r="I45" s="29"/>
      <c r="J45" s="45"/>
      <c r="K45" s="45"/>
      <c r="L45" s="29">
        <f t="shared" ref="L45:L79" si="6">C45+D45-E45+F45-G45+H45-I45+J45-K45</f>
        <v>13750</v>
      </c>
      <c r="M45" s="29">
        <f>465.85+1911.83+1651.66+1641.4+1491.35+1597.4+1291.61+1694.72+1512.31</f>
        <v>13258.13</v>
      </c>
      <c r="N45" s="29">
        <f t="shared" si="3"/>
        <v>491.8700000000008</v>
      </c>
      <c r="O45" s="39">
        <f t="shared" ref="O45:O54" si="7">M45/$M$138</f>
        <v>3.5543709389052741E-3</v>
      </c>
    </row>
    <row r="46" spans="1:15" ht="15.95" customHeight="1" x14ac:dyDescent="0.2">
      <c r="A46" s="42" t="s">
        <v>94</v>
      </c>
      <c r="B46" s="30" t="s">
        <v>52</v>
      </c>
      <c r="C46" s="29">
        <v>26100</v>
      </c>
      <c r="D46" s="29"/>
      <c r="E46" s="29"/>
      <c r="F46" s="45"/>
      <c r="G46" s="45"/>
      <c r="H46" s="29"/>
      <c r="I46" s="29"/>
      <c r="J46" s="45"/>
      <c r="K46" s="45"/>
      <c r="L46" s="29">
        <f t="shared" si="6"/>
        <v>26100</v>
      </c>
      <c r="M46" s="29">
        <f>4700.89+616.64+610.24+619.85+608+631.42+612.44+1071.56+608</f>
        <v>10079.040000000001</v>
      </c>
      <c r="N46" s="29">
        <f t="shared" si="3"/>
        <v>16020.96</v>
      </c>
      <c r="O46" s="39">
        <f t="shared" si="7"/>
        <v>2.7020889724315433E-3</v>
      </c>
    </row>
    <row r="47" spans="1:15" ht="15.95" customHeight="1" x14ac:dyDescent="0.2">
      <c r="A47" s="42" t="s">
        <v>95</v>
      </c>
      <c r="B47" s="30" t="s">
        <v>53</v>
      </c>
      <c r="C47" s="29">
        <v>2000</v>
      </c>
      <c r="D47" s="29"/>
      <c r="E47" s="29"/>
      <c r="F47" s="45"/>
      <c r="G47" s="45"/>
      <c r="H47" s="29"/>
      <c r="I47" s="29"/>
      <c r="J47" s="45"/>
      <c r="K47" s="45"/>
      <c r="L47" s="29">
        <f t="shared" si="6"/>
        <v>2000</v>
      </c>
      <c r="M47" s="29"/>
      <c r="N47" s="29">
        <f t="shared" si="3"/>
        <v>2000</v>
      </c>
      <c r="O47" s="39">
        <f t="shared" si="7"/>
        <v>0</v>
      </c>
    </row>
    <row r="48" spans="1:15" ht="15.95" customHeight="1" x14ac:dyDescent="0.2">
      <c r="A48" s="42" t="s">
        <v>96</v>
      </c>
      <c r="B48" s="30" t="s">
        <v>161</v>
      </c>
      <c r="C48" s="29">
        <v>8000</v>
      </c>
      <c r="D48" s="29"/>
      <c r="E48" s="29"/>
      <c r="F48" s="45"/>
      <c r="G48" s="45"/>
      <c r="H48" s="29"/>
      <c r="I48" s="29"/>
      <c r="J48" s="45"/>
      <c r="K48" s="45"/>
      <c r="L48" s="29">
        <f t="shared" si="6"/>
        <v>8000</v>
      </c>
      <c r="M48" s="29">
        <v>2040</v>
      </c>
      <c r="N48" s="29">
        <f t="shared" si="3"/>
        <v>5960</v>
      </c>
      <c r="O48" s="39">
        <f t="shared" si="7"/>
        <v>5.4690342569930746E-4</v>
      </c>
    </row>
    <row r="49" spans="1:15" ht="15.95" customHeight="1" x14ac:dyDescent="0.2">
      <c r="A49" s="42" t="s">
        <v>97</v>
      </c>
      <c r="B49" s="30" t="s">
        <v>162</v>
      </c>
      <c r="C49" s="29">
        <v>14250</v>
      </c>
      <c r="D49" s="29"/>
      <c r="E49" s="29"/>
      <c r="F49" s="45"/>
      <c r="G49" s="45"/>
      <c r="H49" s="29"/>
      <c r="I49" s="29"/>
      <c r="J49" s="45"/>
      <c r="K49" s="45"/>
      <c r="L49" s="29">
        <f>C49+D49-E49+F49-G49+H49-I49+J49-K49</f>
        <v>14250</v>
      </c>
      <c r="M49" s="29">
        <f>15+2240+725+367.5+3705+36+768+25+17.5</f>
        <v>7899</v>
      </c>
      <c r="N49" s="29">
        <f t="shared" si="3"/>
        <v>6351</v>
      </c>
      <c r="O49" s="39">
        <f t="shared" si="7"/>
        <v>2.1176422350974657E-3</v>
      </c>
    </row>
    <row r="50" spans="1:15" ht="15.95" customHeight="1" x14ac:dyDescent="0.2">
      <c r="A50" s="42" t="s">
        <v>98</v>
      </c>
      <c r="B50" s="30" t="s">
        <v>163</v>
      </c>
      <c r="C50" s="29">
        <v>673088.47</v>
      </c>
      <c r="D50" s="29"/>
      <c r="E50" s="29"/>
      <c r="F50" s="45"/>
      <c r="G50" s="45"/>
      <c r="H50" s="29"/>
      <c r="I50" s="29"/>
      <c r="J50" s="45"/>
      <c r="K50" s="45"/>
      <c r="L50" s="29">
        <f t="shared" si="6"/>
        <v>673088.47</v>
      </c>
      <c r="M50" s="29">
        <f>378743.69+21726.93</f>
        <v>400470.62</v>
      </c>
      <c r="N50" s="29">
        <f t="shared" si="3"/>
        <v>272617.84999999998</v>
      </c>
      <c r="O50" s="39">
        <f t="shared" si="7"/>
        <v>0.10736213429898314</v>
      </c>
    </row>
    <row r="51" spans="1:15" ht="15.95" customHeight="1" x14ac:dyDescent="0.2">
      <c r="A51" s="42" t="s">
        <v>99</v>
      </c>
      <c r="B51" s="30" t="s">
        <v>54</v>
      </c>
      <c r="C51" s="29">
        <v>563742.69999999995</v>
      </c>
      <c r="D51" s="29"/>
      <c r="E51" s="29"/>
      <c r="F51" s="45"/>
      <c r="G51" s="45"/>
      <c r="H51" s="29"/>
      <c r="I51" s="29"/>
      <c r="J51" s="45"/>
      <c r="K51" s="45"/>
      <c r="L51" s="29">
        <f t="shared" si="6"/>
        <v>563742.69999999995</v>
      </c>
      <c r="M51" s="29">
        <f>7164.11+116434.25+133833.94+5432.58+1073.18+24956.58+12537.96</f>
        <v>301432.60000000003</v>
      </c>
      <c r="N51" s="29">
        <f t="shared" si="3"/>
        <v>262310.09999999992</v>
      </c>
      <c r="O51" s="39">
        <f t="shared" si="7"/>
        <v>8.0811039979141713E-2</v>
      </c>
    </row>
    <row r="52" spans="1:15" ht="15.95" customHeight="1" x14ac:dyDescent="0.2">
      <c r="A52" s="42" t="s">
        <v>100</v>
      </c>
      <c r="B52" s="30" t="s">
        <v>164</v>
      </c>
      <c r="C52" s="29">
        <v>600985.37</v>
      </c>
      <c r="D52" s="29"/>
      <c r="E52" s="29"/>
      <c r="F52" s="45"/>
      <c r="G52" s="45">
        <v>100000</v>
      </c>
      <c r="H52" s="29"/>
      <c r="I52" s="29"/>
      <c r="J52" s="45"/>
      <c r="K52" s="45"/>
      <c r="L52" s="29">
        <f>C52+D52-E52+F52-G52+H52-I52+J52-K52</f>
        <v>500985.37</v>
      </c>
      <c r="M52" s="29">
        <f>10463.32+70410.62+88302.55+40613.73+25589.39+126199.79+18982.85+1846.02</f>
        <v>382408.26999999996</v>
      </c>
      <c r="N52" s="29">
        <f t="shared" si="3"/>
        <v>118577.10000000003</v>
      </c>
      <c r="O52" s="39">
        <f t="shared" si="7"/>
        <v>0.1025198004307577</v>
      </c>
    </row>
    <row r="53" spans="1:15" ht="15.95" customHeight="1" x14ac:dyDescent="0.2">
      <c r="A53" s="42" t="s">
        <v>101</v>
      </c>
      <c r="B53" s="30" t="s">
        <v>55</v>
      </c>
      <c r="C53" s="29">
        <v>225000</v>
      </c>
      <c r="D53" s="29"/>
      <c r="E53" s="29"/>
      <c r="F53" s="45"/>
      <c r="G53" s="45"/>
      <c r="H53" s="29"/>
      <c r="I53" s="29"/>
      <c r="J53" s="45"/>
      <c r="K53" s="45"/>
      <c r="L53" s="29">
        <f t="shared" si="6"/>
        <v>225000</v>
      </c>
      <c r="M53" s="29">
        <f>800+23101.17+4780</f>
        <v>28681.17</v>
      </c>
      <c r="N53" s="29">
        <f t="shared" si="3"/>
        <v>196318.83000000002</v>
      </c>
      <c r="O53" s="39">
        <f t="shared" si="7"/>
        <v>7.689132414737356E-3</v>
      </c>
    </row>
    <row r="54" spans="1:15" ht="15.95" customHeight="1" x14ac:dyDescent="0.2">
      <c r="A54" s="42" t="s">
        <v>102</v>
      </c>
      <c r="B54" s="30" t="s">
        <v>56</v>
      </c>
      <c r="C54" s="29">
        <v>75000</v>
      </c>
      <c r="D54" s="29"/>
      <c r="E54" s="29"/>
      <c r="F54" s="45"/>
      <c r="G54" s="45"/>
      <c r="H54" s="29"/>
      <c r="I54" s="29"/>
      <c r="J54" s="45"/>
      <c r="K54" s="45"/>
      <c r="L54" s="29">
        <f t="shared" si="6"/>
        <v>75000</v>
      </c>
      <c r="M54" s="29">
        <v>219</v>
      </c>
      <c r="N54" s="29">
        <f t="shared" si="3"/>
        <v>74781</v>
      </c>
      <c r="O54" s="39">
        <f t="shared" si="7"/>
        <v>5.871169128830801E-5</v>
      </c>
    </row>
    <row r="55" spans="1:15" ht="15.95" customHeight="1" x14ac:dyDescent="0.2">
      <c r="A55" s="42">
        <v>151</v>
      </c>
      <c r="B55" s="30" t="s">
        <v>252</v>
      </c>
      <c r="C55" s="29">
        <v>90000</v>
      </c>
      <c r="D55" s="29"/>
      <c r="E55" s="29"/>
      <c r="F55" s="45"/>
      <c r="G55" s="45"/>
      <c r="H55" s="29"/>
      <c r="I55" s="29"/>
      <c r="J55" s="45"/>
      <c r="K55" s="45"/>
      <c r="L55" s="29">
        <f t="shared" si="6"/>
        <v>90000</v>
      </c>
      <c r="M55" s="29">
        <f>15000+7500+7500+7500+7500+7500+7500+7500</f>
        <v>67500</v>
      </c>
      <c r="N55" s="29">
        <f t="shared" si="3"/>
        <v>22500</v>
      </c>
      <c r="O55" s="39"/>
    </row>
    <row r="56" spans="1:15" ht="15.95" customHeight="1" x14ac:dyDescent="0.2">
      <c r="A56" s="42" t="s">
        <v>103</v>
      </c>
      <c r="B56" s="30" t="s">
        <v>57</v>
      </c>
      <c r="C56" s="29">
        <v>4400</v>
      </c>
      <c r="D56" s="29"/>
      <c r="E56" s="29"/>
      <c r="F56" s="45"/>
      <c r="G56" s="45"/>
      <c r="H56" s="29"/>
      <c r="I56" s="29"/>
      <c r="J56" s="45"/>
      <c r="K56" s="45"/>
      <c r="L56" s="29">
        <f t="shared" si="6"/>
        <v>4400</v>
      </c>
      <c r="M56" s="29">
        <v>3068.8</v>
      </c>
      <c r="N56" s="29">
        <f t="shared" si="3"/>
        <v>1331.1999999999998</v>
      </c>
      <c r="O56" s="39">
        <f t="shared" ref="O56:O61" si="8">M56/$M$138</f>
        <v>8.2271432979707593E-4</v>
      </c>
    </row>
    <row r="57" spans="1:15" ht="15.95" customHeight="1" x14ac:dyDescent="0.2">
      <c r="A57" s="42" t="s">
        <v>104</v>
      </c>
      <c r="B57" s="30" t="s">
        <v>165</v>
      </c>
      <c r="C57" s="29">
        <v>3004.32</v>
      </c>
      <c r="D57" s="29"/>
      <c r="E57" s="29"/>
      <c r="F57" s="45"/>
      <c r="G57" s="45"/>
      <c r="H57" s="29"/>
      <c r="I57" s="29"/>
      <c r="J57" s="45"/>
      <c r="K57" s="45"/>
      <c r="L57" s="29">
        <f t="shared" si="6"/>
        <v>3004.32</v>
      </c>
      <c r="M57" s="29"/>
      <c r="N57" s="29">
        <f t="shared" si="3"/>
        <v>3004.32</v>
      </c>
      <c r="O57" s="39">
        <f t="shared" si="8"/>
        <v>0</v>
      </c>
    </row>
    <row r="58" spans="1:15" ht="15.95" customHeight="1" x14ac:dyDescent="0.2">
      <c r="A58" s="42" t="s">
        <v>105</v>
      </c>
      <c r="B58" s="30" t="s">
        <v>166</v>
      </c>
      <c r="C58" s="29">
        <v>7750</v>
      </c>
      <c r="D58" s="29"/>
      <c r="E58" s="29"/>
      <c r="F58" s="45"/>
      <c r="G58" s="45"/>
      <c r="H58" s="29"/>
      <c r="I58" s="29"/>
      <c r="J58" s="45"/>
      <c r="K58" s="45"/>
      <c r="L58" s="29">
        <f t="shared" si="6"/>
        <v>7750</v>
      </c>
      <c r="M58" s="29">
        <v>1700</v>
      </c>
      <c r="N58" s="29">
        <f t="shared" si="3"/>
        <v>6050</v>
      </c>
      <c r="O58" s="39">
        <f t="shared" si="8"/>
        <v>4.557528547494229E-4</v>
      </c>
    </row>
    <row r="59" spans="1:15" ht="15.95" customHeight="1" x14ac:dyDescent="0.2">
      <c r="A59" s="42" t="s">
        <v>106</v>
      </c>
      <c r="B59" s="30" t="s">
        <v>167</v>
      </c>
      <c r="C59" s="29">
        <v>7000</v>
      </c>
      <c r="D59" s="29"/>
      <c r="E59" s="29"/>
      <c r="F59" s="45"/>
      <c r="G59" s="45"/>
      <c r="H59" s="29"/>
      <c r="I59" s="29"/>
      <c r="J59" s="45"/>
      <c r="K59" s="45"/>
      <c r="L59" s="29">
        <f t="shared" si="6"/>
        <v>7000</v>
      </c>
      <c r="M59" s="29">
        <f>170.04+268</f>
        <v>438.03999999999996</v>
      </c>
      <c r="N59" s="29">
        <f t="shared" si="3"/>
        <v>6561.96</v>
      </c>
      <c r="O59" s="39">
        <f t="shared" si="8"/>
        <v>1.1743410617319835E-4</v>
      </c>
    </row>
    <row r="60" spans="1:15" ht="15.95" customHeight="1" x14ac:dyDescent="0.2">
      <c r="A60" s="42" t="s">
        <v>107</v>
      </c>
      <c r="B60" s="30" t="s">
        <v>168</v>
      </c>
      <c r="C60" s="29">
        <v>14000</v>
      </c>
      <c r="D60" s="29"/>
      <c r="E60" s="29"/>
      <c r="F60" s="45"/>
      <c r="G60" s="45"/>
      <c r="H60" s="29"/>
      <c r="I60" s="29"/>
      <c r="J60" s="45"/>
      <c r="K60" s="45"/>
      <c r="L60" s="29">
        <f t="shared" si="6"/>
        <v>14000</v>
      </c>
      <c r="M60" s="29">
        <f>150+4480</f>
        <v>4630</v>
      </c>
      <c r="N60" s="29">
        <f t="shared" si="3"/>
        <v>9370</v>
      </c>
      <c r="O60" s="39">
        <f t="shared" si="8"/>
        <v>1.2412563044057812E-3</v>
      </c>
    </row>
    <row r="61" spans="1:15" ht="15.95" hidden="1" customHeight="1" x14ac:dyDescent="0.2">
      <c r="A61" s="42" t="s">
        <v>108</v>
      </c>
      <c r="B61" s="30" t="s">
        <v>169</v>
      </c>
      <c r="C61" s="29"/>
      <c r="D61" s="29"/>
      <c r="E61" s="29"/>
      <c r="F61" s="45"/>
      <c r="G61" s="45"/>
      <c r="H61" s="29"/>
      <c r="I61" s="29"/>
      <c r="J61" s="45"/>
      <c r="K61" s="45"/>
      <c r="L61" s="29">
        <f t="shared" si="6"/>
        <v>0</v>
      </c>
      <c r="M61" s="29"/>
      <c r="N61" s="29">
        <f t="shared" si="3"/>
        <v>0</v>
      </c>
      <c r="O61" s="39">
        <f t="shared" si="8"/>
        <v>0</v>
      </c>
    </row>
    <row r="62" spans="1:15" ht="15.95" customHeight="1" x14ac:dyDescent="0.2">
      <c r="A62" s="42">
        <v>169</v>
      </c>
      <c r="B62" s="30" t="s">
        <v>241</v>
      </c>
      <c r="C62" s="29">
        <v>15000</v>
      </c>
      <c r="D62" s="29"/>
      <c r="E62" s="29"/>
      <c r="F62" s="45"/>
      <c r="G62" s="45"/>
      <c r="H62" s="29"/>
      <c r="I62" s="29"/>
      <c r="J62" s="45"/>
      <c r="K62" s="45"/>
      <c r="L62" s="29">
        <f t="shared" si="6"/>
        <v>15000</v>
      </c>
      <c r="M62" s="29"/>
      <c r="N62" s="29">
        <f t="shared" si="3"/>
        <v>15000</v>
      </c>
      <c r="O62" s="39"/>
    </row>
    <row r="63" spans="1:15" ht="15.95" customHeight="1" x14ac:dyDescent="0.2">
      <c r="A63" s="42">
        <v>171</v>
      </c>
      <c r="B63" s="30" t="s">
        <v>169</v>
      </c>
      <c r="C63" s="29">
        <v>10000</v>
      </c>
      <c r="D63" s="29">
        <v>105000</v>
      </c>
      <c r="E63" s="29"/>
      <c r="F63" s="45"/>
      <c r="G63" s="45"/>
      <c r="H63" s="29"/>
      <c r="I63" s="29"/>
      <c r="J63" s="45"/>
      <c r="K63" s="45"/>
      <c r="L63" s="29">
        <f t="shared" si="6"/>
        <v>115000</v>
      </c>
      <c r="M63" s="29">
        <f>30063.05+235.71+482.14+1990+5110.47</f>
        <v>37881.369999999995</v>
      </c>
      <c r="N63" s="29">
        <f t="shared" si="3"/>
        <v>77118.63</v>
      </c>
      <c r="O63" s="39"/>
    </row>
    <row r="64" spans="1:15" ht="15.95" customHeight="1" x14ac:dyDescent="0.2">
      <c r="A64" s="42" t="s">
        <v>109</v>
      </c>
      <c r="B64" s="30" t="s">
        <v>170</v>
      </c>
      <c r="C64" s="29">
        <v>15750</v>
      </c>
      <c r="D64" s="29">
        <v>15000</v>
      </c>
      <c r="E64" s="29"/>
      <c r="F64" s="45"/>
      <c r="G64" s="45"/>
      <c r="H64" s="29"/>
      <c r="I64" s="29"/>
      <c r="J64" s="45"/>
      <c r="K64" s="45"/>
      <c r="L64" s="29">
        <f t="shared" si="6"/>
        <v>30750</v>
      </c>
      <c r="M64" s="29">
        <v>13323</v>
      </c>
      <c r="N64" s="29">
        <f t="shared" si="3"/>
        <v>17427</v>
      </c>
      <c r="O64" s="39">
        <f t="shared" ref="O64:O79" si="9">M64/$M$138</f>
        <v>3.5717619316626833E-3</v>
      </c>
    </row>
    <row r="65" spans="1:15" ht="15.95" customHeight="1" x14ac:dyDescent="0.2">
      <c r="A65" s="42" t="s">
        <v>110</v>
      </c>
      <c r="B65" s="30" t="s">
        <v>171</v>
      </c>
      <c r="C65" s="29">
        <v>260706.83</v>
      </c>
      <c r="D65" s="29"/>
      <c r="E65" s="29"/>
      <c r="F65" s="45"/>
      <c r="G65" s="45"/>
      <c r="H65" s="29"/>
      <c r="I65" s="29"/>
      <c r="J65" s="45"/>
      <c r="K65" s="45"/>
      <c r="L65" s="29">
        <f t="shared" si="6"/>
        <v>260706.83</v>
      </c>
      <c r="M65" s="29"/>
      <c r="N65" s="29">
        <f t="shared" si="3"/>
        <v>260706.83</v>
      </c>
      <c r="O65" s="39">
        <f t="shared" si="9"/>
        <v>0</v>
      </c>
    </row>
    <row r="66" spans="1:15" ht="15.95" customHeight="1" x14ac:dyDescent="0.2">
      <c r="A66" s="42">
        <v>182</v>
      </c>
      <c r="B66" s="30" t="s">
        <v>239</v>
      </c>
      <c r="C66" s="29">
        <v>10000</v>
      </c>
      <c r="D66" s="29"/>
      <c r="E66" s="29"/>
      <c r="F66" s="45"/>
      <c r="G66" s="45"/>
      <c r="H66" s="29"/>
      <c r="I66" s="29"/>
      <c r="J66" s="45"/>
      <c r="K66" s="45"/>
      <c r="L66" s="29">
        <f t="shared" si="6"/>
        <v>10000</v>
      </c>
      <c r="M66" s="29"/>
      <c r="N66" s="29">
        <f t="shared" si="3"/>
        <v>10000</v>
      </c>
      <c r="O66" s="39">
        <f t="shared" si="9"/>
        <v>0</v>
      </c>
    </row>
    <row r="67" spans="1:15" ht="15.95" customHeight="1" x14ac:dyDescent="0.2">
      <c r="A67" s="42" t="s">
        <v>111</v>
      </c>
      <c r="B67" s="30" t="s">
        <v>172</v>
      </c>
      <c r="C67" s="29">
        <v>54000</v>
      </c>
      <c r="D67" s="29"/>
      <c r="E67" s="29"/>
      <c r="F67" s="45"/>
      <c r="G67" s="45"/>
      <c r="H67" s="29"/>
      <c r="I67" s="29"/>
      <c r="J67" s="45"/>
      <c r="K67" s="45"/>
      <c r="L67" s="29">
        <f t="shared" si="6"/>
        <v>54000</v>
      </c>
      <c r="M67" s="29">
        <f>4909.09+4909.09+4909.09+4909.09+4909.09+4909.09+4909.09+4909.09</f>
        <v>39272.720000000001</v>
      </c>
      <c r="N67" s="29">
        <f t="shared" si="3"/>
        <v>14727.279999999999</v>
      </c>
      <c r="O67" s="39">
        <f t="shared" si="9"/>
        <v>1.0528620149279268E-2</v>
      </c>
    </row>
    <row r="68" spans="1:15" ht="15.95" customHeight="1" x14ac:dyDescent="0.2">
      <c r="A68" s="42" t="s">
        <v>112</v>
      </c>
      <c r="B68" s="30" t="s">
        <v>173</v>
      </c>
      <c r="C68" s="29">
        <v>54000</v>
      </c>
      <c r="D68" s="29"/>
      <c r="E68" s="29"/>
      <c r="F68" s="45"/>
      <c r="G68" s="45"/>
      <c r="H68" s="29"/>
      <c r="I68" s="29"/>
      <c r="J68" s="45"/>
      <c r="K68" s="45"/>
      <c r="L68" s="29">
        <f t="shared" si="6"/>
        <v>54000</v>
      </c>
      <c r="M68" s="29">
        <f>4500+4500+4500+4500+4500+4500+4500+4500+4500</f>
        <v>40500</v>
      </c>
      <c r="N68" s="29">
        <f t="shared" si="3"/>
        <v>13500</v>
      </c>
      <c r="O68" s="39">
        <f t="shared" si="9"/>
        <v>1.0857641539618604E-2</v>
      </c>
    </row>
    <row r="69" spans="1:15" ht="15.95" customHeight="1" x14ac:dyDescent="0.2">
      <c r="A69" s="42" t="s">
        <v>113</v>
      </c>
      <c r="B69" s="30" t="s">
        <v>58</v>
      </c>
      <c r="C69" s="29">
        <v>7500</v>
      </c>
      <c r="D69" s="29"/>
      <c r="E69" s="29"/>
      <c r="F69" s="45"/>
      <c r="G69" s="45"/>
      <c r="H69" s="29"/>
      <c r="I69" s="29"/>
      <c r="J69" s="45"/>
      <c r="K69" s="45"/>
      <c r="L69" s="29">
        <f t="shared" si="6"/>
        <v>7500</v>
      </c>
      <c r="M69" s="29">
        <v>300</v>
      </c>
      <c r="N69" s="29">
        <f t="shared" si="3"/>
        <v>7200</v>
      </c>
      <c r="O69" s="39">
        <f t="shared" si="9"/>
        <v>8.0426974367545217E-5</v>
      </c>
    </row>
    <row r="70" spans="1:15" ht="15.95" customHeight="1" x14ac:dyDescent="0.2">
      <c r="A70" s="42" t="s">
        <v>114</v>
      </c>
      <c r="B70" s="30" t="s">
        <v>174</v>
      </c>
      <c r="C70" s="29">
        <v>24540</v>
      </c>
      <c r="D70" s="29"/>
      <c r="E70" s="29"/>
      <c r="F70" s="45"/>
      <c r="G70" s="45"/>
      <c r="H70" s="29"/>
      <c r="I70" s="29"/>
      <c r="J70" s="45"/>
      <c r="K70" s="45"/>
      <c r="L70" s="29">
        <f t="shared" si="6"/>
        <v>24540</v>
      </c>
      <c r="M70" s="29">
        <f>650+840</f>
        <v>1490</v>
      </c>
      <c r="N70" s="29">
        <f t="shared" si="3"/>
        <v>23050</v>
      </c>
      <c r="O70" s="39">
        <f t="shared" si="9"/>
        <v>3.9945397269214127E-4</v>
      </c>
    </row>
    <row r="71" spans="1:15" ht="15.95" customHeight="1" x14ac:dyDescent="0.2">
      <c r="A71" s="42" t="s">
        <v>115</v>
      </c>
      <c r="B71" s="30" t="s">
        <v>175</v>
      </c>
      <c r="C71" s="29">
        <v>20500</v>
      </c>
      <c r="D71" s="29"/>
      <c r="E71" s="29"/>
      <c r="F71" s="45">
        <v>842800</v>
      </c>
      <c r="G71" s="45"/>
      <c r="H71" s="29"/>
      <c r="I71" s="29"/>
      <c r="J71" s="45"/>
      <c r="K71" s="45"/>
      <c r="L71" s="29">
        <f t="shared" si="6"/>
        <v>863300</v>
      </c>
      <c r="M71" s="29">
        <f>75279.4+121070.11+58800+3000+172041.02+1000+112256.73+154342.21</f>
        <v>697789.47</v>
      </c>
      <c r="N71" s="29">
        <f t="shared" si="3"/>
        <v>165510.53000000003</v>
      </c>
      <c r="O71" s="39">
        <f t="shared" si="9"/>
        <v>0.18707031939210989</v>
      </c>
    </row>
    <row r="72" spans="1:15" ht="15.95" customHeight="1" x14ac:dyDescent="0.2">
      <c r="A72" s="42" t="s">
        <v>116</v>
      </c>
      <c r="B72" s="30" t="s">
        <v>176</v>
      </c>
      <c r="C72" s="29">
        <v>8000</v>
      </c>
      <c r="D72" s="29"/>
      <c r="E72" s="29"/>
      <c r="F72" s="45"/>
      <c r="G72" s="45"/>
      <c r="H72" s="29"/>
      <c r="I72" s="29"/>
      <c r="J72" s="45"/>
      <c r="K72" s="45"/>
      <c r="L72" s="29">
        <f t="shared" si="6"/>
        <v>8000</v>
      </c>
      <c r="M72" s="29"/>
      <c r="N72" s="29">
        <f t="shared" si="3"/>
        <v>8000</v>
      </c>
      <c r="O72" s="39">
        <f t="shared" si="9"/>
        <v>0</v>
      </c>
    </row>
    <row r="73" spans="1:15" ht="15.95" customHeight="1" x14ac:dyDescent="0.2">
      <c r="A73" s="42" t="s">
        <v>117</v>
      </c>
      <c r="B73" s="30" t="s">
        <v>59</v>
      </c>
      <c r="C73" s="29">
        <v>576000</v>
      </c>
      <c r="D73" s="29"/>
      <c r="E73" s="29"/>
      <c r="F73" s="45"/>
      <c r="G73" s="45">
        <v>400000</v>
      </c>
      <c r="H73" s="29"/>
      <c r="I73" s="29"/>
      <c r="J73" s="45"/>
      <c r="K73" s="45"/>
      <c r="L73" s="29">
        <f t="shared" si="6"/>
        <v>176000</v>
      </c>
      <c r="M73" s="29"/>
      <c r="N73" s="29">
        <f t="shared" si="3"/>
        <v>176000</v>
      </c>
      <c r="O73" s="39">
        <f t="shared" si="9"/>
        <v>0</v>
      </c>
    </row>
    <row r="74" spans="1:15" ht="15.95" customHeight="1" x14ac:dyDescent="0.2">
      <c r="A74" s="42" t="s">
        <v>118</v>
      </c>
      <c r="B74" s="30" t="s">
        <v>177</v>
      </c>
      <c r="C74" s="29">
        <v>8250</v>
      </c>
      <c r="D74" s="29"/>
      <c r="E74" s="29"/>
      <c r="F74" s="45"/>
      <c r="G74" s="45"/>
      <c r="H74" s="29"/>
      <c r="I74" s="29"/>
      <c r="J74" s="45"/>
      <c r="K74" s="45"/>
      <c r="L74" s="29">
        <f t="shared" si="6"/>
        <v>8250</v>
      </c>
      <c r="M74" s="29">
        <v>4097.5</v>
      </c>
      <c r="N74" s="29">
        <f t="shared" si="3"/>
        <v>4152.5</v>
      </c>
      <c r="O74" s="39">
        <f t="shared" si="9"/>
        <v>1.0984984249033886E-3</v>
      </c>
    </row>
    <row r="75" spans="1:15" ht="15.95" customHeight="1" x14ac:dyDescent="0.2">
      <c r="A75" s="42" t="s">
        <v>119</v>
      </c>
      <c r="B75" s="30" t="s">
        <v>178</v>
      </c>
      <c r="C75" s="29">
        <v>2500</v>
      </c>
      <c r="D75" s="29"/>
      <c r="E75" s="29"/>
      <c r="F75" s="45"/>
      <c r="G75" s="45"/>
      <c r="H75" s="29"/>
      <c r="I75" s="29"/>
      <c r="J75" s="45"/>
      <c r="K75" s="45"/>
      <c r="L75" s="29">
        <f t="shared" si="6"/>
        <v>2500</v>
      </c>
      <c r="M75" s="29">
        <f>50.36+100.33+202.82+281.23+50.36+132.24+50.36+127.03+50.35</f>
        <v>1045.08</v>
      </c>
      <c r="N75" s="29">
        <f t="shared" si="3"/>
        <v>1454.92</v>
      </c>
      <c r="O75" s="39">
        <f t="shared" si="9"/>
        <v>2.8017540790678053E-4</v>
      </c>
    </row>
    <row r="76" spans="1:15" ht="15.95" customHeight="1" x14ac:dyDescent="0.2">
      <c r="A76" s="42" t="s">
        <v>120</v>
      </c>
      <c r="B76" s="30" t="s">
        <v>60</v>
      </c>
      <c r="C76" s="29">
        <v>50000</v>
      </c>
      <c r="D76" s="29">
        <v>75000</v>
      </c>
      <c r="E76" s="29"/>
      <c r="F76" s="45"/>
      <c r="G76" s="45"/>
      <c r="H76" s="29"/>
      <c r="I76" s="29"/>
      <c r="J76" s="45"/>
      <c r="K76" s="45"/>
      <c r="L76" s="29">
        <f t="shared" si="6"/>
        <v>125000</v>
      </c>
      <c r="M76" s="29">
        <f>30+230.2+363+17298.83+13683.72+929.7+295.3+18603.67</f>
        <v>51434.42</v>
      </c>
      <c r="N76" s="29">
        <f t="shared" si="3"/>
        <v>73565.58</v>
      </c>
      <c r="O76" s="39">
        <f t="shared" si="9"/>
        <v>1.3789049263165183E-2</v>
      </c>
    </row>
    <row r="77" spans="1:15" ht="15.95" customHeight="1" x14ac:dyDescent="0.2">
      <c r="A77" s="42" t="s">
        <v>121</v>
      </c>
      <c r="B77" s="30" t="s">
        <v>179</v>
      </c>
      <c r="C77" s="29">
        <v>50000</v>
      </c>
      <c r="D77" s="29"/>
      <c r="E77" s="29"/>
      <c r="F77" s="45"/>
      <c r="G77" s="45"/>
      <c r="H77" s="29"/>
      <c r="I77" s="29"/>
      <c r="J77" s="45"/>
      <c r="K77" s="45"/>
      <c r="L77" s="29">
        <f t="shared" si="6"/>
        <v>50000</v>
      </c>
      <c r="M77" s="29"/>
      <c r="N77" s="29">
        <f t="shared" si="3"/>
        <v>50000</v>
      </c>
      <c r="O77" s="39">
        <f t="shared" si="9"/>
        <v>0</v>
      </c>
    </row>
    <row r="78" spans="1:15" ht="15.95" customHeight="1" x14ac:dyDescent="0.2">
      <c r="A78" s="42" t="s">
        <v>180</v>
      </c>
      <c r="B78" s="30" t="s">
        <v>153</v>
      </c>
      <c r="C78" s="29">
        <v>46100</v>
      </c>
      <c r="D78" s="29"/>
      <c r="E78" s="29"/>
      <c r="F78" s="45"/>
      <c r="G78" s="45"/>
      <c r="H78" s="29"/>
      <c r="I78" s="29"/>
      <c r="J78" s="45"/>
      <c r="K78" s="45"/>
      <c r="L78" s="29">
        <f t="shared" si="6"/>
        <v>46100</v>
      </c>
      <c r="M78" s="29"/>
      <c r="N78" s="29">
        <f t="shared" si="3"/>
        <v>46100</v>
      </c>
      <c r="O78" s="39">
        <f t="shared" si="9"/>
        <v>0</v>
      </c>
    </row>
    <row r="79" spans="1:15" ht="15.95" customHeight="1" x14ac:dyDescent="0.2">
      <c r="A79" s="42" t="s">
        <v>122</v>
      </c>
      <c r="B79" s="30" t="s">
        <v>181</v>
      </c>
      <c r="C79" s="29">
        <v>51000</v>
      </c>
      <c r="D79" s="29"/>
      <c r="E79" s="29"/>
      <c r="F79" s="45"/>
      <c r="G79" s="45"/>
      <c r="H79" s="29"/>
      <c r="I79" s="29"/>
      <c r="J79" s="45"/>
      <c r="K79" s="45"/>
      <c r="L79" s="29">
        <f t="shared" si="6"/>
        <v>51000</v>
      </c>
      <c r="M79" s="29">
        <f>80+273+65.5+267.5+5785+14270.56+1200+250.59+1995.32</f>
        <v>24187.469999999998</v>
      </c>
      <c r="N79" s="29">
        <f t="shared" si="3"/>
        <v>26812.530000000002</v>
      </c>
      <c r="O79" s="39">
        <f t="shared" si="9"/>
        <v>6.4844167656858956E-3</v>
      </c>
    </row>
    <row r="80" spans="1:15" ht="15.95" customHeight="1" x14ac:dyDescent="0.2">
      <c r="A80" s="42"/>
      <c r="B80" s="30"/>
      <c r="C80" s="29"/>
      <c r="D80" s="29"/>
      <c r="E80" s="29"/>
      <c r="F80" s="45"/>
      <c r="G80" s="45"/>
      <c r="H80" s="29"/>
      <c r="I80" s="29"/>
      <c r="J80" s="45"/>
      <c r="K80" s="45"/>
      <c r="L80" s="29"/>
      <c r="M80" s="29"/>
      <c r="N80" s="29"/>
      <c r="O80" s="39"/>
    </row>
    <row r="81" spans="1:15" ht="15.95" customHeight="1" x14ac:dyDescent="0.2">
      <c r="A81" s="42"/>
      <c r="B81" s="30"/>
      <c r="C81" s="29"/>
      <c r="D81" s="29"/>
      <c r="E81" s="29"/>
      <c r="F81" s="45"/>
      <c r="G81" s="45"/>
      <c r="H81" s="29"/>
      <c r="I81" s="29"/>
      <c r="J81" s="45"/>
      <c r="K81" s="45"/>
      <c r="L81" s="29"/>
      <c r="M81" s="29"/>
      <c r="N81" s="29"/>
      <c r="O81" s="39"/>
    </row>
    <row r="82" spans="1:15" ht="15.95" customHeight="1" x14ac:dyDescent="0.25">
      <c r="A82" s="40">
        <v>2</v>
      </c>
      <c r="B82" s="41" t="s">
        <v>61</v>
      </c>
      <c r="C82" s="27"/>
      <c r="D82" s="29"/>
      <c r="E82" s="29"/>
      <c r="F82" s="45"/>
      <c r="G82" s="45"/>
      <c r="H82" s="29"/>
      <c r="I82" s="29"/>
      <c r="J82" s="45"/>
      <c r="K82" s="45"/>
      <c r="L82" s="29"/>
      <c r="M82" s="29"/>
      <c r="N82" s="29"/>
      <c r="O82" s="39"/>
    </row>
    <row r="83" spans="1:15" ht="15.95" customHeight="1" x14ac:dyDescent="0.2">
      <c r="A83" s="42" t="s">
        <v>123</v>
      </c>
      <c r="B83" s="30" t="s">
        <v>62</v>
      </c>
      <c r="C83" s="29">
        <v>146784.1</v>
      </c>
      <c r="D83" s="29">
        <v>2000</v>
      </c>
      <c r="E83" s="29"/>
      <c r="F83" s="45"/>
      <c r="G83" s="45"/>
      <c r="H83" s="29"/>
      <c r="I83" s="29"/>
      <c r="J83" s="45"/>
      <c r="K83" s="45"/>
      <c r="L83" s="29">
        <f t="shared" ref="L83:L119" si="10">C83+D83-E83+F83-G83+H83-I83+J83-K83</f>
        <v>148784.1</v>
      </c>
      <c r="M83" s="29">
        <f>782.3+3384.3+2972.3+3318.7+4227.6+2430+4032.65+3133.5+3556.35</f>
        <v>27837.7</v>
      </c>
      <c r="N83" s="29">
        <f t="shared" si="3"/>
        <v>120946.40000000001</v>
      </c>
      <c r="O83" s="39">
        <f t="shared" ref="O83:O119" si="11">M83/$M$138</f>
        <v>7.4630066145047122E-3</v>
      </c>
    </row>
    <row r="84" spans="1:15" ht="15.95" hidden="1" customHeight="1" x14ac:dyDescent="0.2">
      <c r="A84" s="42">
        <v>214</v>
      </c>
      <c r="B84" s="30" t="s">
        <v>193</v>
      </c>
      <c r="C84" s="29"/>
      <c r="D84" s="29"/>
      <c r="E84" s="29"/>
      <c r="F84" s="45"/>
      <c r="G84" s="45"/>
      <c r="H84" s="29"/>
      <c r="I84" s="29"/>
      <c r="J84" s="45"/>
      <c r="K84" s="45"/>
      <c r="L84" s="29">
        <f t="shared" si="10"/>
        <v>0</v>
      </c>
      <c r="M84" s="29"/>
      <c r="N84" s="29">
        <f t="shared" si="3"/>
        <v>0</v>
      </c>
      <c r="O84" s="39">
        <f t="shared" si="11"/>
        <v>0</v>
      </c>
    </row>
    <row r="85" spans="1:15" ht="15.95" customHeight="1" x14ac:dyDescent="0.2">
      <c r="A85" s="42">
        <v>223</v>
      </c>
      <c r="B85" s="30" t="s">
        <v>194</v>
      </c>
      <c r="C85" s="29">
        <v>0</v>
      </c>
      <c r="D85" s="29"/>
      <c r="E85" s="29"/>
      <c r="F85" s="45"/>
      <c r="G85" s="45"/>
      <c r="H85" s="29"/>
      <c r="I85" s="29"/>
      <c r="J85" s="45"/>
      <c r="K85" s="45"/>
      <c r="L85" s="29">
        <f t="shared" si="10"/>
        <v>0</v>
      </c>
      <c r="M85" s="29"/>
      <c r="N85" s="29">
        <f t="shared" si="3"/>
        <v>0</v>
      </c>
      <c r="O85" s="39">
        <f t="shared" si="11"/>
        <v>0</v>
      </c>
    </row>
    <row r="86" spans="1:15" ht="15.95" hidden="1" customHeight="1" x14ac:dyDescent="0.2">
      <c r="A86" s="42">
        <v>229</v>
      </c>
      <c r="B86" s="30" t="s">
        <v>195</v>
      </c>
      <c r="C86" s="29"/>
      <c r="D86" s="29"/>
      <c r="E86" s="29"/>
      <c r="F86" s="45"/>
      <c r="G86" s="45"/>
      <c r="H86" s="29"/>
      <c r="I86" s="29"/>
      <c r="J86" s="45"/>
      <c r="K86" s="45"/>
      <c r="L86" s="29">
        <f t="shared" si="10"/>
        <v>0</v>
      </c>
      <c r="M86" s="29"/>
      <c r="N86" s="29">
        <f t="shared" si="3"/>
        <v>0</v>
      </c>
      <c r="O86" s="39">
        <f t="shared" si="11"/>
        <v>0</v>
      </c>
    </row>
    <row r="87" spans="1:15" ht="15.95" customHeight="1" x14ac:dyDescent="0.2">
      <c r="A87" s="42" t="s">
        <v>124</v>
      </c>
      <c r="B87" s="30" t="s">
        <v>63</v>
      </c>
      <c r="C87" s="29">
        <v>5000</v>
      </c>
      <c r="D87" s="29"/>
      <c r="E87" s="29"/>
      <c r="F87" s="45"/>
      <c r="G87" s="45"/>
      <c r="H87" s="29"/>
      <c r="I87" s="29"/>
      <c r="J87" s="45"/>
      <c r="K87" s="45"/>
      <c r="L87" s="29">
        <f t="shared" si="10"/>
        <v>5000</v>
      </c>
      <c r="M87" s="29">
        <f>100+25.9+200+170+43.99</f>
        <v>539.89</v>
      </c>
      <c r="N87" s="29">
        <f t="shared" si="3"/>
        <v>4460.1099999999997</v>
      </c>
      <c r="O87" s="39">
        <f t="shared" si="11"/>
        <v>1.4473906397097997E-4</v>
      </c>
    </row>
    <row r="88" spans="1:15" ht="15.95" customHeight="1" x14ac:dyDescent="0.2">
      <c r="A88" s="42" t="s">
        <v>125</v>
      </c>
      <c r="B88" s="30" t="s">
        <v>64</v>
      </c>
      <c r="C88" s="29">
        <v>33800</v>
      </c>
      <c r="D88" s="29"/>
      <c r="E88" s="29"/>
      <c r="F88" s="45"/>
      <c r="G88" s="45"/>
      <c r="H88" s="29"/>
      <c r="I88" s="29"/>
      <c r="J88" s="45"/>
      <c r="K88" s="45"/>
      <c r="L88" s="29">
        <f t="shared" si="10"/>
        <v>33800</v>
      </c>
      <c r="M88" s="29">
        <f>1260+720+1925+8881.6+4200</f>
        <v>16986.599999999999</v>
      </c>
      <c r="N88" s="29">
        <f t="shared" si="3"/>
        <v>16813.400000000001</v>
      </c>
      <c r="O88" s="39">
        <f t="shared" si="11"/>
        <v>4.553936142639145E-3</v>
      </c>
    </row>
    <row r="89" spans="1:15" ht="15.95" customHeight="1" x14ac:dyDescent="0.2">
      <c r="A89" s="42" t="s">
        <v>126</v>
      </c>
      <c r="B89" s="30" t="s">
        <v>65</v>
      </c>
      <c r="C89" s="29">
        <v>5250</v>
      </c>
      <c r="D89" s="29"/>
      <c r="E89" s="29"/>
      <c r="F89" s="45"/>
      <c r="G89" s="45"/>
      <c r="H89" s="29"/>
      <c r="I89" s="29"/>
      <c r="J89" s="45"/>
      <c r="K89" s="45"/>
      <c r="L89" s="29">
        <f t="shared" si="10"/>
        <v>5250</v>
      </c>
      <c r="M89" s="29">
        <f>506.3+361.55+365.5+576.56+8+434+795.7+502.8+462</f>
        <v>4012.41</v>
      </c>
      <c r="N89" s="29">
        <f t="shared" si="3"/>
        <v>1237.5900000000001</v>
      </c>
      <c r="O89" s="39">
        <f t="shared" si="11"/>
        <v>1.0756866540736071E-3</v>
      </c>
    </row>
    <row r="90" spans="1:15" ht="15.95" customHeight="1" x14ac:dyDescent="0.2">
      <c r="A90" s="42" t="s">
        <v>127</v>
      </c>
      <c r="B90" s="30" t="s">
        <v>66</v>
      </c>
      <c r="C90" s="29">
        <v>10500</v>
      </c>
      <c r="D90" s="29"/>
      <c r="E90" s="29"/>
      <c r="F90" s="45"/>
      <c r="G90" s="45"/>
      <c r="H90" s="29"/>
      <c r="I90" s="29"/>
      <c r="J90" s="45"/>
      <c r="K90" s="45"/>
      <c r="L90" s="29">
        <f t="shared" si="10"/>
        <v>10500</v>
      </c>
      <c r="M90" s="29">
        <f>941.5+113+924.25+970.84+257.6+1032.74+1683.54+92.4+1005.29</f>
        <v>7021.16</v>
      </c>
      <c r="N90" s="29">
        <f t="shared" si="3"/>
        <v>3478.84</v>
      </c>
      <c r="O90" s="39">
        <f t="shared" si="11"/>
        <v>1.882302184501446E-3</v>
      </c>
    </row>
    <row r="91" spans="1:15" ht="15.95" customHeight="1" x14ac:dyDescent="0.2">
      <c r="A91" s="42" t="s">
        <v>128</v>
      </c>
      <c r="B91" s="30" t="s">
        <v>196</v>
      </c>
      <c r="C91" s="29">
        <v>3050</v>
      </c>
      <c r="D91" s="29"/>
      <c r="E91" s="29"/>
      <c r="F91" s="45"/>
      <c r="G91" s="45"/>
      <c r="H91" s="29"/>
      <c r="I91" s="29"/>
      <c r="J91" s="45"/>
      <c r="K91" s="45"/>
      <c r="L91" s="29">
        <f t="shared" si="10"/>
        <v>3050</v>
      </c>
      <c r="M91" s="29">
        <f>69.8+860.8+22.5+20.75+493.6+143.6+270</f>
        <v>1881.0499999999997</v>
      </c>
      <c r="N91" s="29">
        <f t="shared" si="3"/>
        <v>1168.9500000000003</v>
      </c>
      <c r="O91" s="39">
        <f t="shared" si="11"/>
        <v>5.0429053378023639E-4</v>
      </c>
    </row>
    <row r="92" spans="1:15" ht="15.95" customHeight="1" x14ac:dyDescent="0.2">
      <c r="A92" s="42" t="s">
        <v>129</v>
      </c>
      <c r="B92" s="30" t="s">
        <v>67</v>
      </c>
      <c r="C92" s="29">
        <v>875</v>
      </c>
      <c r="D92" s="29"/>
      <c r="E92" s="29"/>
      <c r="F92" s="45"/>
      <c r="G92" s="45"/>
      <c r="H92" s="29"/>
      <c r="I92" s="29"/>
      <c r="J92" s="45"/>
      <c r="K92" s="45"/>
      <c r="L92" s="29">
        <f t="shared" si="10"/>
        <v>875</v>
      </c>
      <c r="M92" s="29"/>
      <c r="N92" s="29">
        <f t="shared" si="3"/>
        <v>875</v>
      </c>
      <c r="O92" s="39">
        <f t="shared" si="11"/>
        <v>0</v>
      </c>
    </row>
    <row r="93" spans="1:15" ht="15.95" customHeight="1" x14ac:dyDescent="0.2">
      <c r="A93" s="42" t="s">
        <v>130</v>
      </c>
      <c r="B93" s="30" t="s">
        <v>197</v>
      </c>
      <c r="C93" s="29">
        <v>5500</v>
      </c>
      <c r="D93" s="29"/>
      <c r="E93" s="29"/>
      <c r="F93" s="45"/>
      <c r="G93" s="45"/>
      <c r="H93" s="29"/>
      <c r="I93" s="29"/>
      <c r="J93" s="45"/>
      <c r="K93" s="45"/>
      <c r="L93" s="29">
        <f t="shared" si="10"/>
        <v>5500</v>
      </c>
      <c r="M93" s="29"/>
      <c r="N93" s="29">
        <f t="shared" si="3"/>
        <v>5500</v>
      </c>
      <c r="O93" s="39">
        <f t="shared" si="11"/>
        <v>0</v>
      </c>
    </row>
    <row r="94" spans="1:15" ht="15.95" customHeight="1" x14ac:dyDescent="0.2">
      <c r="A94" s="42" t="s">
        <v>131</v>
      </c>
      <c r="B94" s="30" t="s">
        <v>68</v>
      </c>
      <c r="C94" s="29">
        <v>2700</v>
      </c>
      <c r="D94" s="29"/>
      <c r="E94" s="29"/>
      <c r="F94" s="45"/>
      <c r="G94" s="45"/>
      <c r="H94" s="29"/>
      <c r="I94" s="29"/>
      <c r="J94" s="45"/>
      <c r="K94" s="45"/>
      <c r="L94" s="29">
        <f t="shared" si="10"/>
        <v>2700</v>
      </c>
      <c r="M94" s="29">
        <f>550+360+90</f>
        <v>1000</v>
      </c>
      <c r="N94" s="29">
        <f t="shared" si="3"/>
        <v>1700</v>
      </c>
      <c r="O94" s="39">
        <f t="shared" si="11"/>
        <v>2.6808991455848407E-4</v>
      </c>
    </row>
    <row r="95" spans="1:15" ht="15.95" customHeight="1" x14ac:dyDescent="0.2">
      <c r="A95" s="42" t="s">
        <v>198</v>
      </c>
      <c r="B95" s="30" t="s">
        <v>199</v>
      </c>
      <c r="C95" s="29">
        <v>2800</v>
      </c>
      <c r="D95" s="29"/>
      <c r="E95" s="29"/>
      <c r="F95" s="45"/>
      <c r="G95" s="45"/>
      <c r="H95" s="29"/>
      <c r="I95" s="29"/>
      <c r="J95" s="45"/>
      <c r="K95" s="45"/>
      <c r="L95" s="29">
        <f t="shared" si="10"/>
        <v>2800</v>
      </c>
      <c r="M95" s="29">
        <f>469+547.99</f>
        <v>1016.99</v>
      </c>
      <c r="N95" s="29">
        <f t="shared" si="3"/>
        <v>1783.01</v>
      </c>
      <c r="O95" s="39">
        <f t="shared" si="11"/>
        <v>2.726447622068327E-4</v>
      </c>
    </row>
    <row r="96" spans="1:15" ht="15.95" customHeight="1" x14ac:dyDescent="0.2">
      <c r="A96" s="42" t="s">
        <v>132</v>
      </c>
      <c r="B96" s="30" t="s">
        <v>69</v>
      </c>
      <c r="C96" s="29">
        <v>8500</v>
      </c>
      <c r="D96" s="29"/>
      <c r="E96" s="29"/>
      <c r="F96" s="45"/>
      <c r="G96" s="45"/>
      <c r="H96" s="29"/>
      <c r="I96" s="29"/>
      <c r="J96" s="45"/>
      <c r="K96" s="45"/>
      <c r="L96" s="29">
        <f t="shared" si="10"/>
        <v>8500</v>
      </c>
      <c r="M96" s="29">
        <f>460+700+869+440+530.02+1265.41+705+1088+1121.04</f>
        <v>7178.47</v>
      </c>
      <c r="N96" s="29">
        <f t="shared" si="3"/>
        <v>1321.5299999999997</v>
      </c>
      <c r="O96" s="39">
        <f t="shared" si="11"/>
        <v>1.9244754089606411E-3</v>
      </c>
    </row>
    <row r="97" spans="1:15" ht="15.95" customHeight="1" x14ac:dyDescent="0.2">
      <c r="A97" s="42" t="s">
        <v>133</v>
      </c>
      <c r="B97" s="30" t="s">
        <v>200</v>
      </c>
      <c r="C97" s="29">
        <v>6000</v>
      </c>
      <c r="D97" s="29"/>
      <c r="E97" s="29"/>
      <c r="F97" s="45"/>
      <c r="G97" s="45"/>
      <c r="H97" s="29"/>
      <c r="I97" s="29"/>
      <c r="J97" s="45"/>
      <c r="K97" s="45"/>
      <c r="L97" s="29">
        <f t="shared" si="10"/>
        <v>6000</v>
      </c>
      <c r="M97" s="29">
        <f>62.5+745+50+193.98+170+20</f>
        <v>1241.48</v>
      </c>
      <c r="N97" s="29">
        <f t="shared" si="3"/>
        <v>4758.5200000000004</v>
      </c>
      <c r="O97" s="39">
        <f t="shared" si="11"/>
        <v>3.3282826712606678E-4</v>
      </c>
    </row>
    <row r="98" spans="1:15" ht="15.95" customHeight="1" x14ac:dyDescent="0.2">
      <c r="A98" s="42" t="s">
        <v>134</v>
      </c>
      <c r="B98" s="30" t="s">
        <v>70</v>
      </c>
      <c r="C98" s="29">
        <v>17500</v>
      </c>
      <c r="D98" s="29"/>
      <c r="E98" s="29"/>
      <c r="F98" s="45"/>
      <c r="G98" s="45"/>
      <c r="H98" s="29"/>
      <c r="I98" s="29"/>
      <c r="J98" s="45"/>
      <c r="K98" s="45"/>
      <c r="L98" s="29">
        <f t="shared" si="10"/>
        <v>17500</v>
      </c>
      <c r="M98" s="29">
        <f>750+1760+486+1480.13+4725.97+3759.32</f>
        <v>12961.42</v>
      </c>
      <c r="N98" s="29">
        <f t="shared" si="3"/>
        <v>4538.58</v>
      </c>
      <c r="O98" s="39">
        <f t="shared" si="11"/>
        <v>3.4748259803566266E-3</v>
      </c>
    </row>
    <row r="99" spans="1:15" ht="15.95" customHeight="1" x14ac:dyDescent="0.2">
      <c r="A99" s="42" t="s">
        <v>135</v>
      </c>
      <c r="B99" s="30" t="s">
        <v>201</v>
      </c>
      <c r="C99" s="29">
        <v>3000</v>
      </c>
      <c r="D99" s="29"/>
      <c r="E99" s="29"/>
      <c r="F99" s="45"/>
      <c r="G99" s="45"/>
      <c r="H99" s="29"/>
      <c r="I99" s="29"/>
      <c r="J99" s="45"/>
      <c r="K99" s="45"/>
      <c r="L99" s="29">
        <f t="shared" si="10"/>
        <v>3000</v>
      </c>
      <c r="M99" s="29">
        <f>198.75+81+243.4+6481.27+451.44+144.44+134.1+304.09</f>
        <v>8038.49</v>
      </c>
      <c r="N99" s="29">
        <f t="shared" si="3"/>
        <v>-5038.49</v>
      </c>
      <c r="O99" s="39">
        <f t="shared" si="11"/>
        <v>2.1550380972792287E-3</v>
      </c>
    </row>
    <row r="100" spans="1:15" ht="15.95" customHeight="1" x14ac:dyDescent="0.2">
      <c r="A100" s="42" t="s">
        <v>136</v>
      </c>
      <c r="B100" s="30" t="s">
        <v>202</v>
      </c>
      <c r="C100" s="29">
        <v>1500</v>
      </c>
      <c r="D100" s="29"/>
      <c r="E100" s="29"/>
      <c r="F100" s="45"/>
      <c r="G100" s="45"/>
      <c r="H100" s="29"/>
      <c r="I100" s="29"/>
      <c r="J100" s="45"/>
      <c r="K100" s="45"/>
      <c r="L100" s="29">
        <f t="shared" si="10"/>
        <v>1500</v>
      </c>
      <c r="M100" s="29">
        <f>139+605.62+27+893.78+246+79</f>
        <v>1990.4</v>
      </c>
      <c r="N100" s="29">
        <f t="shared" ref="N100:N137" si="12">L100-M100</f>
        <v>-490.40000000000009</v>
      </c>
      <c r="O100" s="39">
        <f t="shared" si="11"/>
        <v>5.3360616593720674E-4</v>
      </c>
    </row>
    <row r="101" spans="1:15" ht="15.95" customHeight="1" x14ac:dyDescent="0.2">
      <c r="A101" s="42" t="s">
        <v>137</v>
      </c>
      <c r="B101" s="30" t="s">
        <v>71</v>
      </c>
      <c r="C101" s="29">
        <v>200000</v>
      </c>
      <c r="D101" s="29">
        <v>131653.07999999999</v>
      </c>
      <c r="E101" s="29"/>
      <c r="F101" s="45"/>
      <c r="G101" s="45"/>
      <c r="H101" s="29"/>
      <c r="I101" s="29"/>
      <c r="J101" s="45"/>
      <c r="K101" s="45"/>
      <c r="L101" s="29">
        <f t="shared" si="10"/>
        <v>331653.07999999996</v>
      </c>
      <c r="M101" s="29">
        <f>69156.28+114221.15</f>
        <v>183377.43</v>
      </c>
      <c r="N101" s="29">
        <f t="shared" si="12"/>
        <v>148275.64999999997</v>
      </c>
      <c r="O101" s="39">
        <f t="shared" si="11"/>
        <v>4.9161639540654389E-2</v>
      </c>
    </row>
    <row r="102" spans="1:15" ht="15.95" hidden="1" customHeight="1" x14ac:dyDescent="0.2">
      <c r="A102" s="42">
        <v>272</v>
      </c>
      <c r="B102" s="30" t="s">
        <v>203</v>
      </c>
      <c r="C102" s="29"/>
      <c r="D102" s="29"/>
      <c r="E102" s="29"/>
      <c r="F102" s="45"/>
      <c r="G102" s="45"/>
      <c r="H102" s="29"/>
      <c r="I102" s="29"/>
      <c r="J102" s="45"/>
      <c r="K102" s="45"/>
      <c r="L102" s="29">
        <f t="shared" si="10"/>
        <v>0</v>
      </c>
      <c r="M102" s="29"/>
      <c r="N102" s="29">
        <f t="shared" si="12"/>
        <v>0</v>
      </c>
      <c r="O102" s="39">
        <f t="shared" si="11"/>
        <v>0</v>
      </c>
    </row>
    <row r="103" spans="1:15" ht="15.95" hidden="1" customHeight="1" x14ac:dyDescent="0.2">
      <c r="A103" s="42" t="s">
        <v>138</v>
      </c>
      <c r="B103" s="30" t="s">
        <v>204</v>
      </c>
      <c r="C103" s="29"/>
      <c r="D103" s="29"/>
      <c r="E103" s="29"/>
      <c r="F103" s="45"/>
      <c r="G103" s="45"/>
      <c r="H103" s="29"/>
      <c r="I103" s="29"/>
      <c r="J103" s="45"/>
      <c r="K103" s="45"/>
      <c r="L103" s="29">
        <f t="shared" si="10"/>
        <v>0</v>
      </c>
      <c r="M103" s="29"/>
      <c r="N103" s="29">
        <f t="shared" si="12"/>
        <v>0</v>
      </c>
      <c r="O103" s="39">
        <f t="shared" si="11"/>
        <v>0</v>
      </c>
    </row>
    <row r="104" spans="1:15" ht="15.95" customHeight="1" x14ac:dyDescent="0.2">
      <c r="A104" s="42">
        <v>274</v>
      </c>
      <c r="B104" s="30" t="s">
        <v>72</v>
      </c>
      <c r="C104" s="29">
        <v>1500</v>
      </c>
      <c r="D104" s="29"/>
      <c r="E104" s="29"/>
      <c r="F104" s="45"/>
      <c r="G104" s="45"/>
      <c r="H104" s="29"/>
      <c r="I104" s="29"/>
      <c r="J104" s="45"/>
      <c r="K104" s="45"/>
      <c r="L104" s="29">
        <f t="shared" si="10"/>
        <v>1500</v>
      </c>
      <c r="M104" s="29">
        <v>581</v>
      </c>
      <c r="N104" s="29">
        <f t="shared" si="12"/>
        <v>919</v>
      </c>
      <c r="O104" s="39">
        <f t="shared" si="11"/>
        <v>1.5576024035847925E-4</v>
      </c>
    </row>
    <row r="105" spans="1:15" ht="15.95" hidden="1" customHeight="1" x14ac:dyDescent="0.2">
      <c r="A105" s="42">
        <v>275</v>
      </c>
      <c r="B105" s="30" t="s">
        <v>205</v>
      </c>
      <c r="C105" s="29"/>
      <c r="D105" s="29"/>
      <c r="E105" s="29"/>
      <c r="F105" s="45"/>
      <c r="G105" s="45"/>
      <c r="H105" s="29"/>
      <c r="I105" s="29"/>
      <c r="J105" s="45"/>
      <c r="K105" s="45"/>
      <c r="L105" s="29">
        <f t="shared" si="10"/>
        <v>0</v>
      </c>
      <c r="M105" s="29"/>
      <c r="N105" s="29">
        <f t="shared" si="12"/>
        <v>0</v>
      </c>
      <c r="O105" s="39">
        <f t="shared" si="11"/>
        <v>0</v>
      </c>
    </row>
    <row r="106" spans="1:15" ht="15.95" customHeight="1" x14ac:dyDescent="0.2">
      <c r="A106" s="42">
        <v>279</v>
      </c>
      <c r="B106" s="30" t="s">
        <v>206</v>
      </c>
      <c r="C106" s="29">
        <v>750</v>
      </c>
      <c r="D106" s="29"/>
      <c r="E106" s="29"/>
      <c r="F106" s="45"/>
      <c r="G106" s="45"/>
      <c r="H106" s="29"/>
      <c r="I106" s="29"/>
      <c r="J106" s="45"/>
      <c r="K106" s="45"/>
      <c r="L106" s="29">
        <f t="shared" si="10"/>
        <v>750</v>
      </c>
      <c r="M106" s="29">
        <v>12793.34</v>
      </c>
      <c r="N106" s="29">
        <f t="shared" si="12"/>
        <v>-12043.34</v>
      </c>
      <c r="O106" s="39">
        <f t="shared" si="11"/>
        <v>3.4297654275176367E-3</v>
      </c>
    </row>
    <row r="107" spans="1:15" ht="15.95" hidden="1" customHeight="1" x14ac:dyDescent="0.2">
      <c r="A107" s="42">
        <v>281</v>
      </c>
      <c r="B107" s="30" t="s">
        <v>207</v>
      </c>
      <c r="C107" s="29"/>
      <c r="D107" s="29"/>
      <c r="E107" s="29"/>
      <c r="F107" s="45"/>
      <c r="G107" s="45"/>
      <c r="H107" s="29"/>
      <c r="I107" s="29"/>
      <c r="J107" s="45"/>
      <c r="K107" s="45"/>
      <c r="L107" s="29">
        <f t="shared" si="10"/>
        <v>0</v>
      </c>
      <c r="M107" s="29"/>
      <c r="N107" s="29">
        <f t="shared" si="12"/>
        <v>0</v>
      </c>
      <c r="O107" s="39">
        <f t="shared" si="11"/>
        <v>0</v>
      </c>
    </row>
    <row r="108" spans="1:15" ht="15.95" customHeight="1" x14ac:dyDescent="0.2">
      <c r="A108" s="42" t="s">
        <v>139</v>
      </c>
      <c r="B108" s="30" t="s">
        <v>208</v>
      </c>
      <c r="C108" s="29">
        <v>4800</v>
      </c>
      <c r="D108" s="29"/>
      <c r="E108" s="29"/>
      <c r="F108" s="45"/>
      <c r="G108" s="45"/>
      <c r="H108" s="29"/>
      <c r="I108" s="29"/>
      <c r="J108" s="45"/>
      <c r="K108" s="45"/>
      <c r="L108" s="29">
        <f t="shared" si="10"/>
        <v>4800</v>
      </c>
      <c r="M108" s="29">
        <f>252.58+2571.75+376.13+473.5+167+173</f>
        <v>4013.96</v>
      </c>
      <c r="N108" s="29">
        <f t="shared" si="12"/>
        <v>786.04</v>
      </c>
      <c r="O108" s="39">
        <f t="shared" si="11"/>
        <v>1.0761021934411728E-3</v>
      </c>
    </row>
    <row r="109" spans="1:15" ht="15.95" customHeight="1" x14ac:dyDescent="0.2">
      <c r="A109" s="42" t="s">
        <v>140</v>
      </c>
      <c r="B109" s="30" t="s">
        <v>73</v>
      </c>
      <c r="C109" s="29">
        <v>28800</v>
      </c>
      <c r="D109" s="29"/>
      <c r="E109" s="29"/>
      <c r="F109" s="45"/>
      <c r="G109" s="45"/>
      <c r="H109" s="29"/>
      <c r="I109" s="29"/>
      <c r="J109" s="45"/>
      <c r="K109" s="45"/>
      <c r="L109" s="29">
        <f t="shared" si="10"/>
        <v>28800</v>
      </c>
      <c r="M109" s="29">
        <f>3725+6961.98+31274.47+521.3</f>
        <v>42482.75</v>
      </c>
      <c r="N109" s="29">
        <f t="shared" si="12"/>
        <v>-13682.75</v>
      </c>
      <c r="O109" s="39">
        <f t="shared" si="11"/>
        <v>1.1389196817709439E-2</v>
      </c>
    </row>
    <row r="110" spans="1:15" ht="15.95" customHeight="1" x14ac:dyDescent="0.2">
      <c r="A110" s="42" t="s">
        <v>141</v>
      </c>
      <c r="B110" s="30" t="s">
        <v>74</v>
      </c>
      <c r="C110" s="29">
        <v>900000</v>
      </c>
      <c r="D110" s="29">
        <v>100000</v>
      </c>
      <c r="E110" s="29"/>
      <c r="F110" s="45">
        <v>150000</v>
      </c>
      <c r="G110" s="45"/>
      <c r="H110" s="29"/>
      <c r="I110" s="29"/>
      <c r="J110" s="45"/>
      <c r="K110" s="45"/>
      <c r="L110" s="29">
        <f t="shared" si="10"/>
        <v>1150000</v>
      </c>
      <c r="M110" s="29">
        <v>7000</v>
      </c>
      <c r="N110" s="29">
        <f t="shared" si="12"/>
        <v>1143000</v>
      </c>
      <c r="O110" s="39">
        <f t="shared" si="11"/>
        <v>1.8766294019093885E-3</v>
      </c>
    </row>
    <row r="111" spans="1:15" ht="15.95" customHeight="1" x14ac:dyDescent="0.2">
      <c r="A111" s="42">
        <v>286</v>
      </c>
      <c r="B111" s="30" t="s">
        <v>209</v>
      </c>
      <c r="C111" s="29">
        <v>1500</v>
      </c>
      <c r="D111" s="29"/>
      <c r="E111" s="29"/>
      <c r="F111" s="45"/>
      <c r="G111" s="45"/>
      <c r="H111" s="29"/>
      <c r="I111" s="29"/>
      <c r="J111" s="45"/>
      <c r="K111" s="45"/>
      <c r="L111" s="29">
        <f t="shared" si="10"/>
        <v>1500</v>
      </c>
      <c r="M111" s="29">
        <f>98+23.07+136.8+564.86+293.72</f>
        <v>1116.45</v>
      </c>
      <c r="N111" s="29">
        <f t="shared" si="12"/>
        <v>383.54999999999995</v>
      </c>
      <c r="O111" s="39">
        <f t="shared" si="11"/>
        <v>2.9930898510881952E-4</v>
      </c>
    </row>
    <row r="112" spans="1:15" ht="15.95" hidden="1" customHeight="1" x14ac:dyDescent="0.2">
      <c r="A112" s="42">
        <v>289</v>
      </c>
      <c r="B112" s="30" t="s">
        <v>210</v>
      </c>
      <c r="C112" s="29"/>
      <c r="D112" s="29"/>
      <c r="E112" s="29"/>
      <c r="F112" s="45"/>
      <c r="G112" s="45"/>
      <c r="H112" s="29"/>
      <c r="I112" s="29"/>
      <c r="J112" s="45"/>
      <c r="K112" s="45"/>
      <c r="L112" s="29">
        <f t="shared" si="10"/>
        <v>0</v>
      </c>
      <c r="M112" s="29"/>
      <c r="N112" s="29">
        <f t="shared" si="12"/>
        <v>0</v>
      </c>
      <c r="O112" s="39">
        <f t="shared" si="11"/>
        <v>0</v>
      </c>
    </row>
    <row r="113" spans="1:15" ht="15.95" customHeight="1" x14ac:dyDescent="0.2">
      <c r="A113" s="42" t="s">
        <v>142</v>
      </c>
      <c r="B113" s="30" t="s">
        <v>75</v>
      </c>
      <c r="C113" s="29">
        <v>6600</v>
      </c>
      <c r="D113" s="29"/>
      <c r="E113" s="29"/>
      <c r="F113" s="45"/>
      <c r="G113" s="45"/>
      <c r="H113" s="29"/>
      <c r="I113" s="29"/>
      <c r="J113" s="45"/>
      <c r="K113" s="45"/>
      <c r="L113" s="29">
        <f t="shared" si="10"/>
        <v>6600</v>
      </c>
      <c r="M113" s="29">
        <f>150.8+236.6+203.5+101.05+185.2+366.05+349+69.7</f>
        <v>1661.8999999999999</v>
      </c>
      <c r="N113" s="29">
        <f t="shared" si="12"/>
        <v>4938.1000000000004</v>
      </c>
      <c r="O113" s="39">
        <f t="shared" si="11"/>
        <v>4.4553862900474465E-4</v>
      </c>
    </row>
    <row r="114" spans="1:15" ht="15.95" customHeight="1" x14ac:dyDescent="0.2">
      <c r="A114" s="42" t="s">
        <v>143</v>
      </c>
      <c r="B114" s="30" t="s">
        <v>211</v>
      </c>
      <c r="C114" s="29">
        <v>4000</v>
      </c>
      <c r="D114" s="29"/>
      <c r="E114" s="29"/>
      <c r="F114" s="45"/>
      <c r="G114" s="45"/>
      <c r="H114" s="29"/>
      <c r="I114" s="29"/>
      <c r="J114" s="45"/>
      <c r="K114" s="45"/>
      <c r="L114" s="29">
        <f t="shared" si="10"/>
        <v>4000</v>
      </c>
      <c r="M114" s="29">
        <f>62.64+157.34+62.55+103.94+248.09+68.15</f>
        <v>702.71</v>
      </c>
      <c r="N114" s="29">
        <f t="shared" si="12"/>
        <v>3297.29</v>
      </c>
      <c r="O114" s="39">
        <f t="shared" si="11"/>
        <v>1.8838946385939235E-4</v>
      </c>
    </row>
    <row r="115" spans="1:15" ht="15.95" customHeight="1" x14ac:dyDescent="0.2">
      <c r="A115" s="42" t="s">
        <v>144</v>
      </c>
      <c r="B115" s="30" t="s">
        <v>76</v>
      </c>
      <c r="C115" s="29">
        <v>25251.9</v>
      </c>
      <c r="D115" s="29"/>
      <c r="E115" s="29"/>
      <c r="F115" s="45"/>
      <c r="G115" s="45"/>
      <c r="H115" s="29"/>
      <c r="I115" s="29"/>
      <c r="J115" s="45"/>
      <c r="K115" s="45"/>
      <c r="L115" s="29">
        <f t="shared" si="10"/>
        <v>25251.9</v>
      </c>
      <c r="M115" s="29">
        <v>4500</v>
      </c>
      <c r="N115" s="29">
        <f t="shared" si="12"/>
        <v>20751.900000000001</v>
      </c>
      <c r="O115" s="39">
        <f t="shared" si="11"/>
        <v>1.2064046155131783E-3</v>
      </c>
    </row>
    <row r="116" spans="1:15" ht="15.95" customHeight="1" x14ac:dyDescent="0.2">
      <c r="A116" s="42" t="s">
        <v>145</v>
      </c>
      <c r="B116" s="30" t="s">
        <v>77</v>
      </c>
      <c r="C116" s="29">
        <v>2000</v>
      </c>
      <c r="D116" s="29"/>
      <c r="E116" s="29"/>
      <c r="F116" s="45"/>
      <c r="G116" s="45"/>
      <c r="H116" s="29"/>
      <c r="I116" s="29"/>
      <c r="J116" s="45"/>
      <c r="K116" s="45"/>
      <c r="L116" s="29">
        <f t="shared" si="10"/>
        <v>2000</v>
      </c>
      <c r="M116" s="29"/>
      <c r="N116" s="29">
        <f t="shared" si="12"/>
        <v>2000</v>
      </c>
      <c r="O116" s="39">
        <f t="shared" si="11"/>
        <v>0</v>
      </c>
    </row>
    <row r="117" spans="1:15" ht="15.95" customHeight="1" x14ac:dyDescent="0.2">
      <c r="A117" s="42" t="s">
        <v>146</v>
      </c>
      <c r="B117" s="30" t="s">
        <v>212</v>
      </c>
      <c r="C117" s="29">
        <v>9500</v>
      </c>
      <c r="D117" s="29"/>
      <c r="E117" s="29"/>
      <c r="F117" s="45"/>
      <c r="G117" s="45"/>
      <c r="H117" s="29"/>
      <c r="I117" s="29"/>
      <c r="J117" s="45"/>
      <c r="K117" s="45"/>
      <c r="L117" s="29">
        <f t="shared" si="10"/>
        <v>9500</v>
      </c>
      <c r="M117" s="29">
        <f>46+262+10940.08+4201.49-1512.51+1137.12+178</f>
        <v>15252.18</v>
      </c>
      <c r="N117" s="29">
        <f t="shared" si="12"/>
        <v>-5752.18</v>
      </c>
      <c r="O117" s="39">
        <f t="shared" si="11"/>
        <v>4.0889556330306193E-3</v>
      </c>
    </row>
    <row r="118" spans="1:15" ht="15.95" customHeight="1" x14ac:dyDescent="0.2">
      <c r="A118" s="42" t="s">
        <v>147</v>
      </c>
      <c r="B118" s="30" t="s">
        <v>78</v>
      </c>
      <c r="C118" s="29">
        <v>76000</v>
      </c>
      <c r="D118" s="29"/>
      <c r="E118" s="29"/>
      <c r="F118" s="45"/>
      <c r="G118" s="45"/>
      <c r="H118" s="29"/>
      <c r="I118" s="29"/>
      <c r="J118" s="45"/>
      <c r="K118" s="45"/>
      <c r="L118" s="29">
        <f t="shared" si="10"/>
        <v>76000</v>
      </c>
      <c r="M118" s="29">
        <f>101+3685.03+361.78</f>
        <v>4147.8100000000004</v>
      </c>
      <c r="N118" s="29">
        <f t="shared" si="12"/>
        <v>71852.19</v>
      </c>
      <c r="O118" s="39">
        <f t="shared" si="11"/>
        <v>1.1119860285048258E-3</v>
      </c>
    </row>
    <row r="119" spans="1:15" ht="15.95" customHeight="1" x14ac:dyDescent="0.2">
      <c r="A119" s="42" t="s">
        <v>148</v>
      </c>
      <c r="B119" s="30" t="s">
        <v>79</v>
      </c>
      <c r="C119" s="29">
        <v>9500</v>
      </c>
      <c r="D119" s="29"/>
      <c r="E119" s="29"/>
      <c r="F119" s="45"/>
      <c r="G119" s="45"/>
      <c r="H119" s="29"/>
      <c r="I119" s="29"/>
      <c r="J119" s="45"/>
      <c r="K119" s="45"/>
      <c r="L119" s="29">
        <f t="shared" si="10"/>
        <v>9500</v>
      </c>
      <c r="M119" s="29">
        <f>287+760.6+2770.11+247.15+1712.08-0.01+1077.75+819.63+1026.12+502</f>
        <v>9202.43</v>
      </c>
      <c r="N119" s="29">
        <f t="shared" si="12"/>
        <v>297.56999999999971</v>
      </c>
      <c r="O119" s="39">
        <f t="shared" si="11"/>
        <v>2.4670786724304305E-3</v>
      </c>
    </row>
    <row r="120" spans="1:15" ht="15.95" customHeight="1" x14ac:dyDescent="0.2">
      <c r="A120" s="42"/>
      <c r="B120" s="30"/>
      <c r="C120" s="29"/>
      <c r="D120" s="29"/>
      <c r="E120" s="29"/>
      <c r="F120" s="45"/>
      <c r="G120" s="45"/>
      <c r="H120" s="29"/>
      <c r="I120" s="29"/>
      <c r="J120" s="45"/>
      <c r="K120" s="45"/>
      <c r="L120" s="29"/>
      <c r="M120" s="29"/>
      <c r="N120" s="29"/>
      <c r="O120" s="39"/>
    </row>
    <row r="121" spans="1:15" ht="15.95" customHeight="1" x14ac:dyDescent="0.2">
      <c r="A121" s="42"/>
      <c r="B121" s="30"/>
      <c r="C121" s="29"/>
      <c r="D121" s="29"/>
      <c r="E121" s="29"/>
      <c r="F121" s="45"/>
      <c r="G121" s="45"/>
      <c r="H121" s="29"/>
      <c r="I121" s="29"/>
      <c r="J121" s="45"/>
      <c r="K121" s="45"/>
      <c r="L121" s="29"/>
      <c r="M121" s="29"/>
      <c r="N121" s="29"/>
      <c r="O121" s="39"/>
    </row>
    <row r="122" spans="1:15" ht="15.95" customHeight="1" x14ac:dyDescent="0.2">
      <c r="A122" s="42"/>
      <c r="B122" s="30"/>
      <c r="C122" s="29"/>
      <c r="D122" s="29"/>
      <c r="E122" s="29"/>
      <c r="F122" s="45"/>
      <c r="G122" s="45"/>
      <c r="H122" s="29"/>
      <c r="I122" s="29"/>
      <c r="J122" s="45"/>
      <c r="K122" s="45"/>
      <c r="L122" s="29"/>
      <c r="M122" s="29"/>
      <c r="N122" s="29"/>
      <c r="O122" s="39"/>
    </row>
    <row r="123" spans="1:15" ht="15.95" customHeight="1" x14ac:dyDescent="0.25">
      <c r="A123" s="40">
        <v>3</v>
      </c>
      <c r="B123" s="41" t="s">
        <v>80</v>
      </c>
      <c r="C123" s="27"/>
      <c r="D123" s="29"/>
      <c r="E123" s="29"/>
      <c r="F123" s="45"/>
      <c r="G123" s="45"/>
      <c r="H123" s="29"/>
      <c r="I123" s="29"/>
      <c r="J123" s="45"/>
      <c r="K123" s="45"/>
      <c r="L123" s="29"/>
      <c r="M123" s="29"/>
      <c r="N123" s="29"/>
      <c r="O123" s="39"/>
    </row>
    <row r="124" spans="1:15" ht="15.95" customHeight="1" x14ac:dyDescent="0.2">
      <c r="A124" s="43" t="s">
        <v>213</v>
      </c>
      <c r="B124" s="44" t="s">
        <v>214</v>
      </c>
      <c r="C124" s="45">
        <v>10000</v>
      </c>
      <c r="D124" s="29"/>
      <c r="E124" s="29"/>
      <c r="F124" s="45"/>
      <c r="G124" s="45"/>
      <c r="H124" s="29"/>
      <c r="I124" s="29"/>
      <c r="J124" s="45"/>
      <c r="K124" s="45"/>
      <c r="L124" s="29">
        <f t="shared" ref="L124:L137" si="13">C124+D124-E124+F124-G124+J124-K124</f>
        <v>10000</v>
      </c>
      <c r="M124" s="29">
        <v>2700</v>
      </c>
      <c r="N124" s="29">
        <f t="shared" si="12"/>
        <v>7300</v>
      </c>
      <c r="O124" s="39">
        <f>M124/$M$138</f>
        <v>7.2384276930790702E-4</v>
      </c>
    </row>
    <row r="125" spans="1:15" ht="15.95" hidden="1" customHeight="1" x14ac:dyDescent="0.2">
      <c r="A125" s="43" t="s">
        <v>81</v>
      </c>
      <c r="B125" s="44" t="s">
        <v>215</v>
      </c>
      <c r="C125" s="45">
        <v>0</v>
      </c>
      <c r="D125" s="29"/>
      <c r="E125" s="29"/>
      <c r="F125" s="45"/>
      <c r="G125" s="45"/>
      <c r="H125" s="29"/>
      <c r="I125" s="29"/>
      <c r="J125" s="45"/>
      <c r="K125" s="45"/>
      <c r="L125" s="29">
        <f t="shared" si="13"/>
        <v>0</v>
      </c>
      <c r="M125" s="29"/>
      <c r="N125" s="29">
        <f t="shared" si="12"/>
        <v>0</v>
      </c>
      <c r="O125" s="39">
        <f>M125/$M$138</f>
        <v>0</v>
      </c>
    </row>
    <row r="126" spans="1:15" ht="15.95" customHeight="1" x14ac:dyDescent="0.2">
      <c r="A126" s="43" t="s">
        <v>216</v>
      </c>
      <c r="B126" s="44" t="s">
        <v>217</v>
      </c>
      <c r="C126" s="45">
        <v>304035</v>
      </c>
      <c r="D126" s="29"/>
      <c r="E126" s="29"/>
      <c r="F126" s="45"/>
      <c r="G126" s="45"/>
      <c r="H126" s="29"/>
      <c r="I126" s="29"/>
      <c r="J126" s="45"/>
      <c r="K126" s="45"/>
      <c r="L126" s="29">
        <f t="shared" si="13"/>
        <v>304035</v>
      </c>
      <c r="M126" s="29"/>
      <c r="N126" s="29">
        <f t="shared" si="12"/>
        <v>304035</v>
      </c>
      <c r="O126" s="39">
        <f>M126/$M$138</f>
        <v>0</v>
      </c>
    </row>
    <row r="127" spans="1:15" ht="15.95" customHeight="1" x14ac:dyDescent="0.2">
      <c r="A127" s="43" t="s">
        <v>218</v>
      </c>
      <c r="B127" s="44" t="s">
        <v>219</v>
      </c>
      <c r="C127" s="45">
        <v>1500</v>
      </c>
      <c r="D127" s="29"/>
      <c r="E127" s="29"/>
      <c r="F127" s="45"/>
      <c r="G127" s="45"/>
      <c r="H127" s="29"/>
      <c r="I127" s="29"/>
      <c r="J127" s="45"/>
      <c r="K127" s="45"/>
      <c r="L127" s="29">
        <f t="shared" si="13"/>
        <v>1500</v>
      </c>
      <c r="M127" s="29"/>
      <c r="N127" s="29">
        <f t="shared" si="12"/>
        <v>1500</v>
      </c>
      <c r="O127" s="39">
        <f>M127/$M$138</f>
        <v>0</v>
      </c>
    </row>
    <row r="128" spans="1:15" ht="15.95" customHeight="1" x14ac:dyDescent="0.2">
      <c r="A128" s="43">
        <v>328</v>
      </c>
      <c r="B128" s="44" t="s">
        <v>238</v>
      </c>
      <c r="C128" s="45">
        <v>40000</v>
      </c>
      <c r="D128" s="29"/>
      <c r="E128" s="29"/>
      <c r="F128" s="45"/>
      <c r="G128" s="45"/>
      <c r="H128" s="29"/>
      <c r="I128" s="29"/>
      <c r="J128" s="45"/>
      <c r="K128" s="45"/>
      <c r="L128" s="29">
        <f t="shared" si="13"/>
        <v>40000</v>
      </c>
      <c r="M128" s="29">
        <v>14992</v>
      </c>
      <c r="N128" s="29">
        <f t="shared" si="12"/>
        <v>25008</v>
      </c>
      <c r="O128" s="39">
        <f>+M128/M138</f>
        <v>4.0192039990607931E-3</v>
      </c>
    </row>
    <row r="129" spans="1:15" ht="15.95" customHeight="1" x14ac:dyDescent="0.2">
      <c r="A129" s="43" t="s">
        <v>220</v>
      </c>
      <c r="B129" s="44" t="s">
        <v>221</v>
      </c>
      <c r="C129" s="45">
        <v>14300</v>
      </c>
      <c r="D129" s="29"/>
      <c r="E129" s="29"/>
      <c r="F129" s="45"/>
      <c r="G129" s="45"/>
      <c r="H129" s="29"/>
      <c r="I129" s="29"/>
      <c r="J129" s="45"/>
      <c r="K129" s="45"/>
      <c r="L129" s="29">
        <f t="shared" si="13"/>
        <v>14300</v>
      </c>
      <c r="M129" s="29">
        <v>6290</v>
      </c>
      <c r="N129" s="29">
        <f t="shared" si="12"/>
        <v>8010</v>
      </c>
      <c r="O129" s="39">
        <f>M129/$M$138</f>
        <v>1.6862855625728649E-3</v>
      </c>
    </row>
    <row r="130" spans="1:15" ht="15.95" hidden="1" customHeight="1" x14ac:dyDescent="0.2">
      <c r="A130" s="43" t="s">
        <v>222</v>
      </c>
      <c r="B130" s="44" t="s">
        <v>223</v>
      </c>
      <c r="C130" s="45">
        <v>0</v>
      </c>
      <c r="D130" s="29"/>
      <c r="E130" s="29"/>
      <c r="F130" s="45"/>
      <c r="G130" s="45"/>
      <c r="H130" s="29"/>
      <c r="I130" s="29"/>
      <c r="J130" s="45"/>
      <c r="K130" s="45"/>
      <c r="L130" s="29">
        <f t="shared" si="13"/>
        <v>0</v>
      </c>
      <c r="M130" s="29"/>
      <c r="N130" s="29">
        <f t="shared" si="12"/>
        <v>0</v>
      </c>
      <c r="O130" s="39">
        <f>M130/$M$138</f>
        <v>0</v>
      </c>
    </row>
    <row r="131" spans="1:15" ht="15.95" customHeight="1" x14ac:dyDescent="0.2">
      <c r="A131" s="43"/>
      <c r="B131" s="44"/>
      <c r="C131" s="45"/>
      <c r="D131" s="29"/>
      <c r="E131" s="29"/>
      <c r="F131" s="45"/>
      <c r="G131" s="45"/>
      <c r="H131" s="29"/>
      <c r="I131" s="29"/>
      <c r="J131" s="45"/>
      <c r="K131" s="45"/>
      <c r="L131" s="29"/>
      <c r="M131" s="29"/>
      <c r="N131" s="29"/>
      <c r="O131" s="39"/>
    </row>
    <row r="132" spans="1:15" ht="15.95" customHeight="1" x14ac:dyDescent="0.2">
      <c r="A132" s="42"/>
      <c r="B132" s="30"/>
      <c r="C132" s="29"/>
      <c r="D132" s="29"/>
      <c r="E132" s="29"/>
      <c r="F132" s="45"/>
      <c r="G132" s="45"/>
      <c r="H132" s="29"/>
      <c r="I132" s="29"/>
      <c r="J132" s="45"/>
      <c r="K132" s="45"/>
      <c r="L132" s="29"/>
      <c r="M132" s="29"/>
      <c r="N132" s="29"/>
      <c r="O132" s="39"/>
    </row>
    <row r="133" spans="1:15" ht="15.95" customHeight="1" x14ac:dyDescent="0.25">
      <c r="A133" s="40">
        <v>4</v>
      </c>
      <c r="B133" s="41" t="s">
        <v>82</v>
      </c>
      <c r="C133" s="27"/>
      <c r="D133" s="29"/>
      <c r="E133" s="29"/>
      <c r="F133" s="45"/>
      <c r="G133" s="45"/>
      <c r="H133" s="29"/>
      <c r="I133" s="29"/>
      <c r="J133" s="45"/>
      <c r="K133" s="45"/>
      <c r="L133" s="29"/>
      <c r="M133" s="29"/>
      <c r="N133" s="29"/>
      <c r="O133" s="39"/>
    </row>
    <row r="134" spans="1:15" ht="15.95" customHeight="1" x14ac:dyDescent="0.2">
      <c r="A134" s="42" t="s">
        <v>224</v>
      </c>
      <c r="B134" s="30" t="s">
        <v>83</v>
      </c>
      <c r="C134" s="29">
        <v>185900</v>
      </c>
      <c r="D134" s="29"/>
      <c r="E134" s="29"/>
      <c r="F134" s="45"/>
      <c r="G134" s="45"/>
      <c r="H134" s="29"/>
      <c r="I134" s="29"/>
      <c r="J134" s="45"/>
      <c r="K134" s="45"/>
      <c r="L134" s="29">
        <f t="shared" si="13"/>
        <v>185900</v>
      </c>
      <c r="M134" s="29">
        <v>51205.02</v>
      </c>
      <c r="N134" s="29">
        <f t="shared" si="12"/>
        <v>134694.98000000001</v>
      </c>
      <c r="O134" s="39">
        <f>M134/$M$138</f>
        <v>1.3727549436765468E-2</v>
      </c>
    </row>
    <row r="135" spans="1:15" ht="15.95" customHeight="1" x14ac:dyDescent="0.2">
      <c r="A135" s="42" t="s">
        <v>225</v>
      </c>
      <c r="B135" s="30" t="s">
        <v>226</v>
      </c>
      <c r="C135" s="29">
        <v>7170</v>
      </c>
      <c r="D135" s="29"/>
      <c r="E135" s="29"/>
      <c r="F135" s="29"/>
      <c r="G135" s="29"/>
      <c r="H135" s="29"/>
      <c r="I135" s="29"/>
      <c r="J135" s="45"/>
      <c r="K135" s="45"/>
      <c r="L135" s="29">
        <f t="shared" si="13"/>
        <v>7170</v>
      </c>
      <c r="M135" s="29">
        <v>2256</v>
      </c>
      <c r="N135" s="29">
        <f t="shared" si="12"/>
        <v>4914</v>
      </c>
      <c r="O135" s="39">
        <f>M135/$M$138</f>
        <v>6.0481084724394005E-4</v>
      </c>
    </row>
    <row r="136" spans="1:15" ht="15.95" customHeight="1" x14ac:dyDescent="0.2">
      <c r="A136" s="42" t="s">
        <v>227</v>
      </c>
      <c r="B136" s="30" t="s">
        <v>228</v>
      </c>
      <c r="C136" s="29">
        <v>70000</v>
      </c>
      <c r="D136" s="29"/>
      <c r="E136" s="29"/>
      <c r="F136" s="29"/>
      <c r="G136" s="29"/>
      <c r="H136" s="29"/>
      <c r="I136" s="29"/>
      <c r="J136" s="45"/>
      <c r="K136" s="45"/>
      <c r="L136" s="29">
        <f t="shared" si="13"/>
        <v>70000</v>
      </c>
      <c r="M136" s="29">
        <f>750+1500+1500+1500+1500+1500+1500+56626.94+1000</f>
        <v>67376.94</v>
      </c>
      <c r="N136" s="29">
        <f t="shared" si="12"/>
        <v>2623.0599999999977</v>
      </c>
      <c r="O136" s="39">
        <f>M136/$M$138</f>
        <v>1.8063078087812108E-2</v>
      </c>
    </row>
    <row r="137" spans="1:15" ht="15.95" customHeight="1" thickBot="1" x14ac:dyDescent="0.25">
      <c r="A137" s="42" t="s">
        <v>229</v>
      </c>
      <c r="B137" s="30" t="s">
        <v>230</v>
      </c>
      <c r="C137" s="29">
        <v>8750</v>
      </c>
      <c r="D137" s="29"/>
      <c r="E137" s="29"/>
      <c r="F137" s="29"/>
      <c r="G137" s="29"/>
      <c r="H137" s="29"/>
      <c r="I137" s="29"/>
      <c r="J137" s="45"/>
      <c r="K137" s="45"/>
      <c r="L137" s="29">
        <f t="shared" si="13"/>
        <v>8750</v>
      </c>
      <c r="M137" s="29">
        <f>3210.77</f>
        <v>3210.77</v>
      </c>
      <c r="N137" s="29">
        <f t="shared" si="12"/>
        <v>5539.23</v>
      </c>
      <c r="O137" s="39">
        <f>M137/$M$138</f>
        <v>8.607750549669439E-4</v>
      </c>
    </row>
    <row r="138" spans="1:15" ht="18" customHeight="1" thickBot="1" x14ac:dyDescent="0.3">
      <c r="A138" s="33"/>
      <c r="B138" s="34" t="s">
        <v>92</v>
      </c>
      <c r="C138" s="35">
        <f t="shared" ref="C138:N138" si="14">SUM(C31:C137)</f>
        <v>7829870.540000001</v>
      </c>
      <c r="D138" s="35">
        <f t="shared" si="14"/>
        <v>428653.07999999996</v>
      </c>
      <c r="E138" s="35">
        <f t="shared" si="14"/>
        <v>0</v>
      </c>
      <c r="F138" s="35">
        <f t="shared" si="14"/>
        <v>992800</v>
      </c>
      <c r="G138" s="35">
        <f t="shared" si="14"/>
        <v>992800</v>
      </c>
      <c r="H138" s="35">
        <f t="shared" si="14"/>
        <v>0</v>
      </c>
      <c r="I138" s="35">
        <f t="shared" si="14"/>
        <v>0</v>
      </c>
      <c r="J138" s="65">
        <f t="shared" si="14"/>
        <v>0</v>
      </c>
      <c r="K138" s="65">
        <f t="shared" si="14"/>
        <v>0</v>
      </c>
      <c r="L138" s="35">
        <f>SUM(L31:L137)</f>
        <v>8258523.6200000001</v>
      </c>
      <c r="M138" s="35">
        <f>SUM(M31:M137)</f>
        <v>3730091.8300000019</v>
      </c>
      <c r="N138" s="35">
        <f t="shared" si="14"/>
        <v>4528431.7899999991</v>
      </c>
      <c r="O138" s="46">
        <v>1</v>
      </c>
    </row>
    <row r="139" spans="1:15" x14ac:dyDescent="0.2">
      <c r="A139" s="47"/>
      <c r="B139" s="76"/>
      <c r="C139" s="78"/>
      <c r="D139" s="77"/>
      <c r="E139" s="48"/>
      <c r="F139" s="48"/>
      <c r="G139" s="48"/>
      <c r="H139" s="48"/>
      <c r="I139" s="48"/>
      <c r="J139" s="66"/>
      <c r="K139" s="66"/>
      <c r="L139" s="48"/>
      <c r="M139" s="48"/>
      <c r="N139" s="48"/>
    </row>
    <row r="140" spans="1:15" ht="15.75" thickBot="1" x14ac:dyDescent="0.25"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67"/>
      <c r="K141" s="67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67"/>
      <c r="K142" s="67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67"/>
      <c r="K143" s="67"/>
      <c r="L143" s="4"/>
      <c r="M143" s="4"/>
    </row>
    <row r="144" spans="1:15" ht="6.95" customHeight="1" x14ac:dyDescent="0.2">
      <c r="A144" s="49"/>
      <c r="B144" s="50"/>
      <c r="C144" s="51"/>
      <c r="D144" s="4"/>
      <c r="E144" s="4"/>
      <c r="F144" s="4"/>
      <c r="G144" s="4"/>
      <c r="H144" s="4"/>
      <c r="I144" s="4"/>
      <c r="J144" s="67"/>
      <c r="K144" s="67"/>
      <c r="L144" s="4"/>
      <c r="M144" s="4"/>
    </row>
    <row r="145" spans="1:12" x14ac:dyDescent="0.2">
      <c r="A145" s="52" t="s">
        <v>85</v>
      </c>
      <c r="B145" s="53"/>
      <c r="C145" s="54"/>
      <c r="D145" s="4"/>
      <c r="E145" s="4"/>
      <c r="F145" s="4"/>
      <c r="G145" s="4"/>
      <c r="H145" s="4"/>
      <c r="I145" s="4"/>
      <c r="J145" s="67"/>
      <c r="K145" s="67"/>
      <c r="L145" s="4"/>
    </row>
    <row r="146" spans="1:12" x14ac:dyDescent="0.2">
      <c r="A146" s="55" t="s">
        <v>255</v>
      </c>
      <c r="B146" s="53"/>
      <c r="C146" s="70">
        <f>2088615.75+0.01</f>
        <v>2088615.76</v>
      </c>
      <c r="D146" s="48"/>
      <c r="E146" s="4"/>
      <c r="F146" s="4"/>
      <c r="G146" s="4"/>
      <c r="H146" s="4"/>
      <c r="I146" s="4"/>
      <c r="J146" s="67"/>
      <c r="K146" s="67"/>
      <c r="L146" s="4"/>
    </row>
    <row r="147" spans="1:12" x14ac:dyDescent="0.2">
      <c r="A147" s="55" t="s">
        <v>253</v>
      </c>
      <c r="B147" s="53"/>
      <c r="C147" s="70">
        <v>-30069.18</v>
      </c>
      <c r="D147" s="48"/>
      <c r="E147" s="4"/>
      <c r="F147" s="4"/>
      <c r="G147" s="4"/>
      <c r="H147" s="4"/>
      <c r="I147" s="4"/>
      <c r="J147" s="67"/>
      <c r="K147" s="67"/>
      <c r="L147" s="4"/>
    </row>
    <row r="148" spans="1:12" x14ac:dyDescent="0.2">
      <c r="A148" s="55" t="s">
        <v>260</v>
      </c>
      <c r="B148" s="53"/>
      <c r="C148" s="70">
        <v>82.43</v>
      </c>
      <c r="D148" s="48"/>
      <c r="E148" s="4"/>
      <c r="F148" s="4"/>
      <c r="G148" s="4"/>
      <c r="H148" s="4"/>
      <c r="I148" s="4"/>
      <c r="J148" s="67"/>
      <c r="K148" s="67"/>
      <c r="L148" s="4"/>
    </row>
    <row r="149" spans="1:12" x14ac:dyDescent="0.2">
      <c r="A149" s="84" t="s">
        <v>246</v>
      </c>
      <c r="B149" s="53"/>
      <c r="C149" s="70">
        <v>-21992.19</v>
      </c>
      <c r="D149" s="48"/>
      <c r="E149" s="4"/>
      <c r="F149" s="4"/>
      <c r="G149" s="4"/>
      <c r="H149" s="4"/>
      <c r="I149" s="4"/>
      <c r="J149" s="67"/>
      <c r="K149" s="67"/>
      <c r="L149" s="4"/>
    </row>
    <row r="150" spans="1:12" x14ac:dyDescent="0.2">
      <c r="A150" s="55" t="s">
        <v>86</v>
      </c>
      <c r="B150" s="53"/>
      <c r="C150" s="70">
        <f>M26</f>
        <v>4142329.09</v>
      </c>
      <c r="D150" s="48"/>
      <c r="E150" s="4"/>
      <c r="F150" s="4"/>
      <c r="G150" s="4"/>
      <c r="H150" s="4"/>
      <c r="I150" s="4"/>
      <c r="J150" s="67"/>
      <c r="K150" s="67"/>
      <c r="L150" s="4"/>
    </row>
    <row r="151" spans="1:12" x14ac:dyDescent="0.2">
      <c r="A151" s="55" t="s">
        <v>87</v>
      </c>
      <c r="B151" s="53"/>
      <c r="C151" s="71">
        <f>-M138</f>
        <v>-3730091.8300000019</v>
      </c>
      <c r="D151" s="4"/>
      <c r="E151" s="4"/>
      <c r="F151" s="4"/>
      <c r="G151" s="4"/>
      <c r="H151" s="4"/>
      <c r="I151" s="4"/>
      <c r="J151" s="67"/>
      <c r="K151" s="67"/>
      <c r="L151" s="4"/>
    </row>
    <row r="152" spans="1:12" ht="15.75" x14ac:dyDescent="0.25">
      <c r="A152" s="56" t="s">
        <v>88</v>
      </c>
      <c r="B152" s="57"/>
      <c r="C152" s="72">
        <f>SUM(C146:C151)</f>
        <v>2448874.0799999982</v>
      </c>
      <c r="D152" s="4"/>
      <c r="E152" s="4"/>
      <c r="F152" s="4"/>
      <c r="G152" s="4"/>
      <c r="H152" s="4"/>
      <c r="I152" s="4"/>
      <c r="J152" s="67"/>
      <c r="K152" s="67"/>
      <c r="L152" s="4"/>
    </row>
    <row r="153" spans="1:12" ht="15.75" x14ac:dyDescent="0.25">
      <c r="A153" s="56"/>
      <c r="B153" s="57"/>
      <c r="C153" s="72"/>
      <c r="D153" s="4"/>
      <c r="E153" s="4"/>
      <c r="F153" s="4"/>
      <c r="G153" s="4"/>
      <c r="H153" s="4"/>
      <c r="I153" s="4"/>
      <c r="J153" s="67"/>
      <c r="K153" s="67"/>
      <c r="L153" s="4"/>
    </row>
    <row r="154" spans="1:12" x14ac:dyDescent="0.2">
      <c r="A154" s="52" t="s">
        <v>89</v>
      </c>
      <c r="B154" s="53"/>
      <c r="C154" s="70"/>
      <c r="D154" s="4"/>
      <c r="E154" s="4"/>
      <c r="F154" s="4"/>
      <c r="G154" s="4"/>
      <c r="H154" s="4"/>
      <c r="I154" s="4"/>
      <c r="J154" s="67"/>
      <c r="K154" s="67"/>
      <c r="L154" s="4"/>
    </row>
    <row r="155" spans="1:12" ht="12" customHeight="1" x14ac:dyDescent="0.2">
      <c r="A155" s="55" t="s">
        <v>149</v>
      </c>
      <c r="B155" s="53"/>
      <c r="C155" s="70">
        <v>272</v>
      </c>
      <c r="D155" s="4"/>
      <c r="E155" s="4"/>
      <c r="F155" s="4"/>
      <c r="G155" s="4"/>
      <c r="H155" s="4"/>
      <c r="I155" s="4"/>
      <c r="J155" s="67"/>
      <c r="K155" s="67"/>
      <c r="L155" s="4"/>
    </row>
    <row r="156" spans="1:12" ht="12" customHeight="1" x14ac:dyDescent="0.2">
      <c r="A156" s="55" t="s">
        <v>248</v>
      </c>
      <c r="B156" s="53"/>
      <c r="C156" s="70">
        <v>50</v>
      </c>
      <c r="D156" s="4"/>
      <c r="E156" s="4"/>
      <c r="F156" s="4"/>
      <c r="G156" s="4"/>
      <c r="H156" s="4"/>
      <c r="I156" s="4"/>
      <c r="J156" s="67"/>
      <c r="K156" s="67"/>
      <c r="L156" s="4"/>
    </row>
    <row r="157" spans="1:12" ht="12" customHeight="1" x14ac:dyDescent="0.2">
      <c r="A157" s="55" t="s">
        <v>269</v>
      </c>
      <c r="B157" s="53"/>
      <c r="C157" s="70">
        <v>18520.189999999999</v>
      </c>
      <c r="D157" s="4"/>
      <c r="E157" s="4"/>
      <c r="F157" s="4"/>
      <c r="G157" s="4"/>
      <c r="H157" s="4"/>
      <c r="I157" s="4"/>
      <c r="J157" s="67"/>
      <c r="K157" s="67"/>
      <c r="L157" s="4"/>
    </row>
    <row r="158" spans="1:12" x14ac:dyDescent="0.2">
      <c r="A158" s="55" t="s">
        <v>152</v>
      </c>
      <c r="B158" s="53"/>
      <c r="C158" s="70">
        <f>7133.74+3229.24+668.58</f>
        <v>11031.56</v>
      </c>
      <c r="D158" s="80"/>
      <c r="E158" s="4"/>
      <c r="F158" s="4"/>
      <c r="G158" s="4"/>
      <c r="H158" s="4"/>
      <c r="I158" s="4"/>
      <c r="J158" s="67"/>
      <c r="K158" s="67"/>
      <c r="L158" s="4"/>
    </row>
    <row r="159" spans="1:12" x14ac:dyDescent="0.2">
      <c r="A159" s="55" t="s">
        <v>151</v>
      </c>
      <c r="B159" s="53"/>
      <c r="C159" s="70">
        <v>1861.55</v>
      </c>
      <c r="D159" s="81"/>
      <c r="E159" s="4"/>
      <c r="F159" s="4"/>
      <c r="G159" s="4"/>
      <c r="H159" s="4"/>
      <c r="I159" s="4"/>
      <c r="J159" s="67"/>
      <c r="K159" s="67"/>
      <c r="L159" s="4"/>
    </row>
    <row r="160" spans="1:12" x14ac:dyDescent="0.2">
      <c r="A160" s="55" t="s">
        <v>150</v>
      </c>
      <c r="B160" s="53"/>
      <c r="C160" s="70">
        <f>1434.29+7716.75</f>
        <v>9151.0400000000009</v>
      </c>
      <c r="D160" s="81"/>
      <c r="E160" s="4"/>
      <c r="F160" s="4"/>
      <c r="G160" s="4"/>
      <c r="H160" s="4"/>
      <c r="I160" s="4"/>
      <c r="J160" s="67"/>
      <c r="K160" s="67"/>
      <c r="L160" s="4"/>
    </row>
    <row r="161" spans="1:13" x14ac:dyDescent="0.2">
      <c r="A161" s="55" t="s">
        <v>270</v>
      </c>
      <c r="B161" s="53"/>
      <c r="C161" s="70">
        <v>-15</v>
      </c>
      <c r="D161" s="81"/>
      <c r="E161" s="4"/>
      <c r="F161" s="4"/>
      <c r="G161" s="4"/>
      <c r="H161" s="4"/>
      <c r="I161" s="4"/>
      <c r="J161" s="67"/>
      <c r="K161" s="67"/>
      <c r="L161" s="4"/>
    </row>
    <row r="162" spans="1:13" x14ac:dyDescent="0.2">
      <c r="A162" s="55" t="s">
        <v>279</v>
      </c>
      <c r="B162" s="53"/>
      <c r="C162" s="70">
        <v>0.01</v>
      </c>
      <c r="D162" s="81"/>
      <c r="E162" s="4"/>
      <c r="F162" s="4"/>
      <c r="G162" s="4"/>
      <c r="H162" s="4"/>
      <c r="I162" s="4"/>
      <c r="J162" s="67"/>
      <c r="K162" s="67"/>
      <c r="L162" s="4"/>
    </row>
    <row r="163" spans="1:13" x14ac:dyDescent="0.2">
      <c r="A163" s="55" t="s">
        <v>268</v>
      </c>
      <c r="B163" s="53"/>
      <c r="C163" s="70"/>
      <c r="D163" s="81"/>
      <c r="E163" s="4"/>
      <c r="F163" s="4"/>
      <c r="G163" s="4"/>
      <c r="H163" s="4"/>
      <c r="I163" s="4"/>
      <c r="J163" s="67"/>
      <c r="K163" s="67"/>
      <c r="L163" s="4"/>
    </row>
    <row r="164" spans="1:13" x14ac:dyDescent="0.2">
      <c r="A164" s="55"/>
      <c r="B164" s="53"/>
      <c r="C164" s="71"/>
      <c r="D164" s="82"/>
      <c r="E164" s="83"/>
      <c r="F164" s="4"/>
      <c r="G164" s="4"/>
      <c r="H164" s="4"/>
      <c r="I164" s="4"/>
      <c r="J164" s="67"/>
      <c r="K164" s="67"/>
      <c r="L164" s="4"/>
    </row>
    <row r="165" spans="1:13" ht="15.75" x14ac:dyDescent="0.25">
      <c r="A165" s="56"/>
      <c r="B165" s="57"/>
      <c r="C165" s="72">
        <f>SUM(C155:C164)</f>
        <v>40871.35</v>
      </c>
      <c r="D165" s="82"/>
      <c r="E165" s="83"/>
      <c r="F165" s="4"/>
      <c r="G165" s="4"/>
      <c r="H165" s="4"/>
      <c r="I165" s="4"/>
      <c r="J165" s="67"/>
      <c r="K165" s="67"/>
      <c r="L165" s="4"/>
    </row>
    <row r="166" spans="1:13" ht="2.1" customHeight="1" x14ac:dyDescent="0.25">
      <c r="A166" s="56"/>
      <c r="B166" s="57"/>
      <c r="C166" s="73"/>
      <c r="D166" s="81"/>
      <c r="E166" s="4"/>
      <c r="F166" s="4"/>
      <c r="G166" s="4"/>
      <c r="H166" s="4"/>
      <c r="I166" s="4"/>
      <c r="J166" s="67"/>
      <c r="K166" s="67"/>
      <c r="L166" s="4"/>
    </row>
    <row r="167" spans="1:13" x14ac:dyDescent="0.2">
      <c r="A167" s="55"/>
      <c r="B167" s="53"/>
      <c r="C167" s="70"/>
      <c r="D167" s="81"/>
      <c r="E167" s="4"/>
      <c r="F167" s="4"/>
      <c r="G167" s="4"/>
      <c r="H167" s="4"/>
      <c r="I167" s="4"/>
      <c r="J167" s="67"/>
      <c r="K167" s="67"/>
      <c r="L167" s="4"/>
    </row>
    <row r="168" spans="1:13" ht="2.1" customHeight="1" thickBot="1" x14ac:dyDescent="0.3">
      <c r="A168" s="58" t="s">
        <v>244</v>
      </c>
      <c r="B168" s="59"/>
      <c r="C168" s="69">
        <f>C152+C165</f>
        <v>2489745.4299999983</v>
      </c>
      <c r="D168" s="80"/>
      <c r="E168" s="4"/>
      <c r="F168" s="4"/>
      <c r="G168" s="4"/>
      <c r="H168" s="4"/>
      <c r="I168" s="4"/>
      <c r="J168" s="67"/>
      <c r="K168" s="67"/>
      <c r="L168" s="4"/>
    </row>
    <row r="169" spans="1:13" ht="9.9499999999999993" customHeight="1" x14ac:dyDescent="0.2">
      <c r="A169" s="55"/>
      <c r="B169" s="53"/>
      <c r="C169" s="70"/>
      <c r="D169" s="80"/>
      <c r="E169" s="4"/>
      <c r="F169" s="4"/>
      <c r="G169" s="4"/>
      <c r="H169" s="4"/>
      <c r="I169" s="4"/>
      <c r="J169" s="67"/>
      <c r="K169" s="67"/>
      <c r="L169" s="4"/>
    </row>
    <row r="170" spans="1:13" ht="16.5" thickBot="1" x14ac:dyDescent="0.3">
      <c r="A170" s="58" t="s">
        <v>278</v>
      </c>
      <c r="B170" s="59"/>
      <c r="C170" s="69">
        <f>C152+C165</f>
        <v>2489745.4299999983</v>
      </c>
      <c r="D170" s="82"/>
      <c r="E170" s="4"/>
      <c r="F170" s="4"/>
      <c r="G170" s="4"/>
      <c r="H170" s="4"/>
      <c r="I170" s="4"/>
      <c r="J170" s="67"/>
      <c r="K170" s="67"/>
      <c r="L170" s="4"/>
      <c r="M170" s="4"/>
    </row>
    <row r="171" spans="1:13" x14ac:dyDescent="0.2">
      <c r="A171" s="53"/>
      <c r="C171" s="4"/>
      <c r="D171" s="4"/>
      <c r="E171" s="4"/>
      <c r="F171" s="4"/>
      <c r="G171" s="4"/>
      <c r="H171" s="4"/>
      <c r="I171" s="4"/>
      <c r="J171" s="67"/>
      <c r="K171" s="67"/>
      <c r="L171" s="4"/>
    </row>
    <row r="172" spans="1:13" x14ac:dyDescent="0.2">
      <c r="C172" s="4"/>
      <c r="D172" s="4"/>
      <c r="E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67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C182" s="13" t="s">
        <v>231</v>
      </c>
      <c r="G182" s="11" t="s">
        <v>264</v>
      </c>
      <c r="J182" s="13" t="s">
        <v>240</v>
      </c>
      <c r="K182" s="75"/>
    </row>
    <row r="183" spans="2:12" x14ac:dyDescent="0.2">
      <c r="B183" s="11" t="s">
        <v>90</v>
      </c>
      <c r="C183" s="13" t="s">
        <v>91</v>
      </c>
      <c r="G183" s="11" t="s">
        <v>265</v>
      </c>
      <c r="J183" s="11" t="s">
        <v>249</v>
      </c>
    </row>
    <row r="187" spans="2:12" x14ac:dyDescent="0.2">
      <c r="I187" s="4"/>
      <c r="K187" s="67"/>
      <c r="L187" s="4"/>
    </row>
    <row r="188" spans="2:12" x14ac:dyDescent="0.2">
      <c r="I188" s="4"/>
      <c r="K188" s="67"/>
      <c r="L188" s="4"/>
    </row>
    <row r="189" spans="2:12" x14ac:dyDescent="0.2">
      <c r="G189" s="60"/>
      <c r="I189" s="60"/>
      <c r="K189" s="68"/>
      <c r="L189" s="4"/>
    </row>
    <row r="190" spans="2:12" x14ac:dyDescent="0.2">
      <c r="G190" s="60"/>
      <c r="I190" s="60"/>
      <c r="K190" s="68"/>
      <c r="L190" s="4"/>
    </row>
    <row r="191" spans="2:12" x14ac:dyDescent="0.2">
      <c r="G191" s="60"/>
      <c r="L191" s="4"/>
    </row>
    <row r="192" spans="2:12" x14ac:dyDescent="0.2">
      <c r="G192" s="60"/>
    </row>
    <row r="193" spans="7:12" x14ac:dyDescent="0.2">
      <c r="G193" s="60"/>
    </row>
    <row r="194" spans="7:12" x14ac:dyDescent="0.2">
      <c r="G194" s="60"/>
      <c r="L194" s="4"/>
    </row>
    <row r="195" spans="7:12" x14ac:dyDescent="0.2">
      <c r="G195" s="60"/>
    </row>
    <row r="196" spans="7:12" x14ac:dyDescent="0.2">
      <c r="G196" s="60"/>
    </row>
    <row r="197" spans="7:12" x14ac:dyDescent="0.2">
      <c r="G197" s="60"/>
    </row>
    <row r="198" spans="7:12" x14ac:dyDescent="0.2">
      <c r="G198" s="60"/>
    </row>
    <row r="199" spans="7:12" x14ac:dyDescent="0.2">
      <c r="G199" s="60"/>
    </row>
    <row r="200" spans="7:12" x14ac:dyDescent="0.2">
      <c r="G200" s="60"/>
    </row>
    <row r="201" spans="7:12" x14ac:dyDescent="0.2">
      <c r="G201" s="60"/>
    </row>
    <row r="202" spans="7:12" x14ac:dyDescent="0.2">
      <c r="G202" s="60"/>
    </row>
    <row r="203" spans="7:12" x14ac:dyDescent="0.2">
      <c r="G203" s="60"/>
    </row>
    <row r="204" spans="7:12" x14ac:dyDescent="0.2">
      <c r="G204" s="60"/>
    </row>
    <row r="205" spans="7:12" x14ac:dyDescent="0.2">
      <c r="G205" s="60"/>
    </row>
    <row r="206" spans="7:12" x14ac:dyDescent="0.2">
      <c r="G206" s="60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ENERO 2022</vt:lpstr>
      <vt:lpstr>FEBRERO 2022</vt:lpstr>
      <vt:lpstr>MARZO 2022</vt:lpstr>
      <vt:lpstr>ABRIL 2022 </vt:lpstr>
      <vt:lpstr>MAYO 2022 </vt:lpstr>
      <vt:lpstr>JUNIO 2022</vt:lpstr>
      <vt:lpstr>JULIO 2022 </vt:lpstr>
      <vt:lpstr>AGOSTO 2022 </vt:lpstr>
      <vt:lpstr>SEPTIEMBRE 2022</vt:lpstr>
      <vt:lpstr>OCTUBRE 2022 </vt:lpstr>
      <vt:lpstr>NOVIEMBRE 2022</vt:lpstr>
      <vt:lpstr>DICIEMBRE 2022</vt:lpstr>
      <vt:lpstr>'ABRIL 2022 '!Área_de_impresión</vt:lpstr>
      <vt:lpstr>'AGOSTO 2022 '!Área_de_impresión</vt:lpstr>
      <vt:lpstr>'ENERO 2022'!Área_de_impresión</vt:lpstr>
      <vt:lpstr>'FEBRERO 2022'!Área_de_impresión</vt:lpstr>
      <vt:lpstr>'JULIO 2022 '!Área_de_impresión</vt:lpstr>
      <vt:lpstr>'JUNIO 2022'!Área_de_impresión</vt:lpstr>
      <vt:lpstr>'MARZO 2022'!Área_de_impresión</vt:lpstr>
      <vt:lpstr>'MAYO 2022 '!Área_de_impresión</vt:lpstr>
      <vt:lpstr>'NOVIEMBRE 2022'!Área_de_impresión</vt:lpstr>
      <vt:lpstr>'OCTUBRE 2022 '!Área_de_impresión</vt:lpstr>
      <vt:lpstr>'SEPTIEMBRE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Vivi</cp:lastModifiedBy>
  <cp:lastPrinted>2023-01-17T15:35:34Z</cp:lastPrinted>
  <dcterms:created xsi:type="dcterms:W3CDTF">2018-02-13T22:14:16Z</dcterms:created>
  <dcterms:modified xsi:type="dcterms:W3CDTF">2023-01-27T16:34:51Z</dcterms:modified>
</cp:coreProperties>
</file>